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08" activeTab="2"/>
  </bookViews>
  <sheets>
    <sheet name="1.หาดสำราญ" sheetId="1" r:id="rId1"/>
    <sheet name="2.เมือง" sheetId="2" r:id="rId2"/>
    <sheet name="3.ย่านตาขาว" sheetId="3" r:id="rId3"/>
  </sheets>
  <definedNames/>
  <calcPr fullCalcOnLoad="1"/>
</workbook>
</file>

<file path=xl/sharedStrings.xml><?xml version="1.0" encoding="utf-8"?>
<sst xmlns="http://schemas.openxmlformats.org/spreadsheetml/2006/main" count="428" uniqueCount="210">
  <si>
    <t>สรุปผลการดำเนินงานตามกิจกรรม / โครงการ ประจำปีงบประมาณ 2557</t>
  </si>
  <si>
    <t>ประจำเดือน กันยายน   พ.ศ. 2557</t>
  </si>
  <si>
    <t>กศน.อำเภอหาดสำราญ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</si>
  <si>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</si>
  <si>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</si>
  <si>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</si>
  <si>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</si>
  <si>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</si>
  <si>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</si>
  <si>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</si>
  <si>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</si>
  <si>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</si>
  <si>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</si>
  <si>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</si>
  <si>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</si>
  <si>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</si>
  <si>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</si>
  <si>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</si>
  <si>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ช</t>
  </si>
  <si>
    <t>ญ</t>
  </si>
  <si>
    <t xml:space="preserve">รวม    </t>
  </si>
  <si>
    <t>รวม</t>
  </si>
  <si>
    <t>แผนงาน : ขยายโอกาสและพัฒนาคุณภาพการศึกษา</t>
  </si>
  <si>
    <t>ผลผลิตที่ 4 การศึกษานอกระบบ</t>
  </si>
  <si>
    <t xml:space="preserve"> 1. ส่งเสริมการรู้หนังสือ</t>
  </si>
  <si>
    <t>2. ศูนย์ฝึกอาชีพชุมชน</t>
  </si>
  <si>
    <t>จัดสรรตามความหนาแน่นของประชากร</t>
  </si>
  <si>
    <t xml:space="preserve">    2.1 ภาษาอังกฤษเพื่อการท่องเที่ยว(ม.3 บ้าหวี)</t>
  </si>
  <si>
    <t xml:space="preserve">    2.2 ธุรกิจสปา(ม.2 ตะเสะ)</t>
  </si>
  <si>
    <t xml:space="preserve">    2.3 ภาษาอังกฤษเพื่อการท่องเที่ยว(ม.9 หาดสำราญ)</t>
  </si>
  <si>
    <t>จัดสรรตามจำนวน กศน.ตำบล</t>
  </si>
  <si>
    <t xml:space="preserve">    2.4 ช่างปูกระเบื้อง(ม.4 บ้าหวี)</t>
  </si>
  <si>
    <t xml:space="preserve">    2.5 ธุรกิจเสริมสวย(ม.9 หาดสำราญ)</t>
  </si>
  <si>
    <t xml:space="preserve">    2.6 ธุรกิจขนมไทย(ม.5 หาดสำราญ)</t>
  </si>
  <si>
    <t xml:space="preserve"> 3. พัฒนาทักษะชีวิต</t>
  </si>
  <si>
    <t xml:space="preserve">     3.1 "วัยรุ่นสดใส ไม่ท้องก่อนวัย ห่างไกลยาเสพติด"            (13 ก.พ. 57)</t>
  </si>
  <si>
    <t xml:space="preserve"> 4. พัฒนาสังคมและชุมชน</t>
  </si>
  <si>
    <t xml:space="preserve">    4.1 การทำน้ำสมุนไพรเพื่อสุขภาพ (22-24 ม.ค. 57)</t>
  </si>
  <si>
    <t xml:space="preserve">    4.2 ค่ายรักษ์บ้านเกิด (25 ก.พ. 57)</t>
  </si>
  <si>
    <t xml:space="preserve">    4.3 อบรมภาษามลายู</t>
  </si>
  <si>
    <t xml:space="preserve">    4.4 แข่งขันกีฬาปรองดองสมานฉันท์ สานสัมพันธ์สามตำบล</t>
  </si>
  <si>
    <t xml:space="preserve"> 5. เศรษฐกิจพอเพียง</t>
  </si>
  <si>
    <t xml:space="preserve">    5.1 เลี้ยงปลาดุกในบ่อพลาสติก (ม.2 ต.ตะเสะ)</t>
  </si>
  <si>
    <t xml:space="preserve">    5.2 ปุ๋ยหมักชีวภาพ (ม.2 ต.ตะเสะ)</t>
  </si>
  <si>
    <t xml:space="preserve">    5.3 การทำบัญชีครัวเรือน (ม.2 ต.ตะเสะ)</t>
  </si>
  <si>
    <t xml:space="preserve">    5.4 การปลูกสมุนไพรใกล้ตัว (ม.2 ต.ตะเสะ)</t>
  </si>
  <si>
    <t xml:space="preserve"> 6. พัฒนาคุณภาพชีวิตผู้สูงอายุ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</si>
  <si>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</si>
  <si>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</si>
  <si>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</si>
  <si>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</si>
  <si>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</si>
  <si>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</si>
  <si>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</si>
  <si>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</si>
  <si>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</si>
  <si>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</si>
  <si>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</si>
  <si>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</si>
  <si>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</si>
  <si>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</si>
  <si>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</si>
  <si>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</si>
  <si>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   3.1 มุมหนังสือน่าอ่านสถานที่ราชการ</t>
  </si>
  <si>
    <t xml:space="preserve">    3.2 นิทรรศการวันสำคัญ</t>
  </si>
  <si>
    <t xml:space="preserve">    3.3 กิจกรรมวันเด็ก</t>
  </si>
  <si>
    <t xml:space="preserve">    3.4 อาสาสมัครรักการอ่าน</t>
  </si>
  <si>
    <t xml:space="preserve">    3.5 ความรู้สู่ชุมชน (รถโมบายเคลื่อนที่)</t>
  </si>
  <si>
    <t xml:space="preserve">    3.6 วันรักการอ่าน 2 เม.ย.</t>
  </si>
  <si>
    <t xml:space="preserve">    3.7 ส่งเสริมการอ่านศูนย์พัฒนาเด็กเล็ก</t>
  </si>
  <si>
    <t xml:space="preserve"> 4. จัดกิจกรรมการศึกษาตามอัธยาศัยใน กศน.ตำบล</t>
  </si>
  <si>
    <t>กศน.ตำบลบ้าหวี</t>
  </si>
  <si>
    <t xml:space="preserve">   1. มุมหนังสือ กศน.ตำบล</t>
  </si>
  <si>
    <t xml:space="preserve">   2. มุมอาเซียนน่ารู้</t>
  </si>
  <si>
    <t>กศน.ตำบลตะเสะ</t>
  </si>
  <si>
    <t>กศน.ตำบลหาดสำราญ</t>
  </si>
  <si>
    <t xml:space="preserve">   2. ความรู้สู่ชุมชน (รถโมบายเคลื่อนที่)</t>
  </si>
  <si>
    <t xml:space="preserve">   3. มุมอาเซียนน่ารู้</t>
  </si>
  <si>
    <t xml:space="preserve">   4. วันเด็ก</t>
  </si>
  <si>
    <t xml:space="preserve">   5. ส่งเสริมการอ่านศูนย์พัฒนาเด็กเล็กบ้านท่าโตบ</t>
  </si>
  <si>
    <t>5. จัดกิจกรรมบ้านหนังสืออัจฉริยะ</t>
  </si>
  <si>
    <t xml:space="preserve">  5.1 กศน.ตำบลบ้าหวี</t>
  </si>
  <si>
    <t xml:space="preserve">  5.2 กศน.ตำบลตะเสะ</t>
  </si>
  <si>
    <t xml:space="preserve">  5.3 กศน.ตำบลหาดสำราญ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</si>
  <si>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</si>
  <si>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</si>
  <si>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</si>
  <si>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</si>
  <si>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 3.1 ค่ายคุณธรรมจริยธรรม(20-21 ธ.ค. 57)</t>
  </si>
  <si>
    <t xml:space="preserve">      3.2 ค่ายคุณธรรมจริยธรรมอิสลาม(22-24 ม.ค. 57)</t>
  </si>
  <si>
    <t xml:space="preserve">      3.3 ติวเข้มเติมเต็มความรู้ (18-19 ก.พ. 57)</t>
  </si>
  <si>
    <t xml:space="preserve">      3.4 ค่ายอาสายุวกาชาด (28 ก.พ. - 2 มี.ค. 57)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</si>
  <si>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</si>
  <si>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</si>
  <si>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</si>
  <si>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</si>
  <si>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</si>
  <si>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>ประจำเดือน  กันยายน    พ.ศ.2557</t>
  </si>
  <si>
    <t>ศูนย์การศึกษานอกระบบและการศึกษาตามอัธยาศัยอำเภอเมืองตรัง</t>
  </si>
  <si>
    <t xml:space="preserve">รวมผลการดำเนินงาน     ที่ผ่านมา    </t>
  </si>
  <si>
    <t>ผลการดำเนินการเดือนนี้      (ก.ย.57)</t>
  </si>
  <si>
    <t xml:space="preserve">รวมผลการดำเนินงาน        </t>
  </si>
  <si>
    <t>แผนงาน : สร้างและกระจายโอกาสทางการศึกษาให้ทั่วถึงและเป็นธรรม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</si>
  <si>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</si>
  <si>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2. ศูนย์ฝึกอาชีพชุมชน</t>
  </si>
  <si>
    <t xml:space="preserve">    2.1 โครงการจัดการเรียนการสอนหลักสูตรระยะสั้นอาชีพเพื่อการมีงานทำ</t>
  </si>
  <si>
    <t xml:space="preserve">    2.3 โครงการศูนย์อาชีพเพื่อการมีงานทำ "ศูนย์ฝึกอาชีพชุมชน"</t>
  </si>
  <si>
    <t xml:space="preserve">    2.3 โครงการศูนย์อาเซี่ยนศึกษากศน.อำเภอเมืองตรัง</t>
  </si>
  <si>
    <t>.</t>
  </si>
  <si>
    <t xml:space="preserve"> </t>
  </si>
  <si>
    <t xml:space="preserve">   3.1 โครงการจัดการศึกษาเพื่อพัฒนาทักษะชีวิต</t>
  </si>
  <si>
    <t xml:space="preserve">        กิจกรรมเสริมสร้างภูมิคุ้มกันเพศศึกษาและการป้องกันเอดส์</t>
  </si>
  <si>
    <t>เพิ่มควนปริง 30 คน</t>
  </si>
  <si>
    <t xml:space="preserve">    4.1 โครงการจัดการศึกษาเพื่อพัฒนาสังคมและชุมชน</t>
  </si>
  <si>
    <t xml:space="preserve">     5.1 โครงการจัดกระบวนการเรียนรู้ตามหลักปรัชญาเศรษฐกิจพอเพียง</t>
  </si>
  <si>
    <t xml:space="preserve">    5.2 โครงการผักพื้นบ้าน อาหารชีวิต เศรษฐกิจพอเพียง</t>
  </si>
  <si>
    <t xml:space="preserve">    6.1 โครงการพัฒนาทักษะชีวิตและการดูแลสุขภาพในชีวิตประจำวันสำหรับผู้สูงอายุ</t>
  </si>
  <si>
    <t>ผลผลิตที่ 5  ผู้รับบริการการศึกษาตามอัธยาศัย</t>
  </si>
  <si>
    <t>ประกอบด้วย ห้องสมุด +กศน.ตำบล+บ้านหนังสือ</t>
  </si>
  <si>
    <t>กิจกรรมห้องสมุดประชาชนอำเภอเมืองตรัง</t>
  </si>
  <si>
    <t xml:space="preserve">    3.1 กิจกรรมเทิดพระเกียรติ</t>
  </si>
  <si>
    <t xml:space="preserve">    3.2 กิจกรรมวันเด็กแห่งชาติ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</si>
  <si>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</si>
  <si>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3.4 กิจกรรมอาสาสมัครส่งเสริมการอ่าน</t>
  </si>
  <si>
    <t xml:space="preserve">    3.5 กิจกรรมแนะนำหนังสือใหม่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</si>
  <si>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</si>
  <si>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3.7 กิจกรรมส่งเสริมการใช้อินเตอร์เน็ต</t>
  </si>
  <si>
    <t xml:space="preserve">    3.8 กิจกรรมหมุนเวียนสื่อสู่ กศน.ตำบล</t>
  </si>
  <si>
    <t>ลบผ่านมา</t>
  </si>
  <si>
    <t xml:space="preserve">    3.9 กิจกรรมชุมชนต้นแบบแห่งการอ่าน</t>
  </si>
  <si>
    <t xml:space="preserve">    3.10 กิจกรรมห้องสมุดเคลื่อนที่</t>
  </si>
  <si>
    <t xml:space="preserve">    3.11 กิจกรรมส่งเสริมการอ่านในสถานที่ราชการ,สถานประกอบการ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</si>
  <si>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</si>
  <si>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 4.1 กิจกรรมส่งเสริมการเรียนรู้ด้านอาชีพ</t>
  </si>
  <si>
    <t xml:space="preserve">     4.2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</si>
  <si>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4.3 กิจกรรมพัฒนาและอนุรักษ์ทรัพยากรธรรมชาติและสิ่งแวดล้อม</t>
  </si>
  <si>
    <t xml:space="preserve">     4.4 กิจกรรมส่งเสริมสนับสนุนการแสดงความจงรักภักดีต่อชาติ ศาสนา พระมหากษัตริย์</t>
  </si>
  <si>
    <t xml:space="preserve">     4.5 กิจกรรมส่งเสริมการป้องกันภัยจากสิ่งเสพติด</t>
  </si>
  <si>
    <t xml:space="preserve">     4.6 กิจกรรมเสริมสร้างความรู้เกี่ยวกับประชาคมอาเซียน</t>
  </si>
  <si>
    <t xml:space="preserve">     4.7 กิจกรรมส่งเสริมการอ่าน</t>
  </si>
  <si>
    <t xml:space="preserve">     4.8 กิจกรรมส่งเสริมการเรียนรู้ในวันสำคัญ</t>
  </si>
  <si>
    <t xml:space="preserve">   4.2 โครงการ"บ้านหนังสืออัจฉริยะ"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</si>
  <si>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</si>
  <si>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   3.1 กิจกรรมสอนเสริม</t>
  </si>
  <si>
    <t xml:space="preserve">     3.2 กิจกรรมพัฒนาด้าน ICT</t>
  </si>
  <si>
    <t xml:space="preserve">     3.3 กิจกรรมส่งเสริมสุขภาพกายและสุขภาพจิต</t>
  </si>
  <si>
    <t xml:space="preserve">     3.4 การทำบัญชีครัวเรือน</t>
  </si>
  <si>
    <t xml:space="preserve">     3.5 "ค่ายคุณธรรม จริยธรรม"</t>
  </si>
  <si>
    <t xml:space="preserve">     3.6 "ค่ายลูกเสือ"</t>
  </si>
  <si>
    <t xml:space="preserve">     3.7 การแข่งขันกีฬา กศน.สัมพันธ์</t>
  </si>
  <si>
    <t xml:space="preserve">     3.8 วิขาการสู่ประชาคมอาเซียน</t>
  </si>
  <si>
    <t xml:space="preserve">     3.7 ค่ายยุวกาชาด</t>
  </si>
  <si>
    <t xml:space="preserve">     3.8 ศึกษาแหล่งเรียนรู้เชิงศิลปะวัฒนธรรมสู่ประชาคมอาเซียน</t>
  </si>
  <si>
    <t xml:space="preserve">           ปกติ</t>
  </si>
  <si>
    <t xml:space="preserve">           พิการ</t>
  </si>
  <si>
    <t xml:space="preserve"> 6. จำนวนนักศึกษาหลักสูตรการศึกษาขั้นพื้นฐาน (EP)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</si>
  <si>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</si>
  <si>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         - ระดับสูงสุดของการศึกษาขั้นพื้นฐาน</t>
  </si>
  <si>
    <t xml:space="preserve"> 7. จำนวนนักศึกษาการศึกษานอกระบบ  โดยการเทียบระดับการศึกษา (ปกติ)</t>
  </si>
  <si>
    <t xml:space="preserve">          - เทียบระดับการศึกษา</t>
  </si>
  <si>
    <t>ประจำเดือน กันยายน  พ.ศ.2557</t>
  </si>
  <si>
    <t xml:space="preserve">              ศูนย์ กศน.อำเภอ ย่านตาขาว</t>
  </si>
  <si>
    <t>2.ศูนย์ฝึกอาชีพชุมชนจัดสรรตาม กศน.ตำบล</t>
  </si>
  <si>
    <t xml:space="preserve">    2.1 หลักสูตรธุรกิจขนมไทย</t>
  </si>
  <si>
    <t xml:space="preserve">    2.2 ช่างปูกระเบื้อง</t>
  </si>
  <si>
    <t xml:space="preserve">    2.3 เลี้ยงไก่พื้นเมิอง</t>
  </si>
  <si>
    <t xml:space="preserve">    2.4 การทำผ้าบาติก</t>
  </si>
  <si>
    <t xml:space="preserve">    2.5 การเพาะเห็ดนางฟ้า</t>
  </si>
  <si>
    <t xml:space="preserve">    2.6 ภาษาอังกฤษเพื่อการค้า</t>
  </si>
  <si>
    <t>ศูนย์ฝึกอาชีพชุมชนจัดสรรตามความหนาแน่นของประชากร</t>
  </si>
  <si>
    <t xml:space="preserve">    2.2 การเพาะเห็ดนางฟ้า</t>
  </si>
  <si>
    <t xml:space="preserve">    2.3 ช่างปูกระเบื้อง</t>
  </si>
  <si>
    <t xml:space="preserve">    2.4 การทำปุ๋ยชีวภาพ</t>
  </si>
  <si>
    <t xml:space="preserve">    2.5 ธุรกิจอาหารไทยเพื่อการค้า</t>
  </si>
  <si>
    <t xml:space="preserve">    2.6 การปลูกพืชเกษตรอินทรีย์</t>
  </si>
  <si>
    <t xml:space="preserve">   3.1 โครงการอบรมขับขี่ปลอดภัย</t>
  </si>
  <si>
    <t xml:space="preserve">   3.2  ประชาธิปไตยกับการเลือกตั้ง</t>
  </si>
  <si>
    <t xml:space="preserve">    4.1 กิจกรรมทางศาสนา(ทอดกฐิน)</t>
  </si>
  <si>
    <t xml:space="preserve">    4.2 เปิด กศน.ตำบล</t>
  </si>
  <si>
    <t xml:space="preserve">    4.3 การทำบัญชีครัวเรือน</t>
  </si>
  <si>
    <t xml:space="preserve">     5.1 โครงการ 2 เมษา รักการอ่านและกิจกรรมการจัดกระบวนการเรียนรู้เศรษฐกิจพอเพียง</t>
  </si>
  <si>
    <t>5.1 โครงการส่งเสริมการจัดกระบวนการเรียนรู้เศรษฐกิจพอเพียง</t>
  </si>
  <si>
    <t xml:space="preserve">      การขยายพันธ์พืช</t>
  </si>
  <si>
    <t xml:space="preserve">      การเลี้ยงสัตว์น้ำ</t>
  </si>
  <si>
    <t xml:space="preserve">      การทำอีเอ็มจากผักและผลไม้</t>
  </si>
  <si>
    <t xml:space="preserve">      การทำปุ๋ยหมักแห้งและเปียก</t>
  </si>
  <si>
    <t xml:space="preserve">    6.1 อบรมหลักสูตร ICT</t>
  </si>
  <si>
    <t xml:space="preserve">    6.2 รดน้ำผู้สูงอายุ</t>
  </si>
  <si>
    <t xml:space="preserve">     - กิจกรรมจัดการเรียนการสอนคนพิการ</t>
  </si>
  <si>
    <t xml:space="preserve">    3.1 ประชาสัมพันธ์และรณรงค์ส่งเสริมการอ่าน</t>
  </si>
  <si>
    <t xml:space="preserve">    3.2 อาสาสมัครส่งเสริมการอ่าน(ผู้รับบริการ)</t>
  </si>
  <si>
    <t xml:space="preserve">    3.3 หนังสือเล่าเรื่อง</t>
  </si>
  <si>
    <t xml:space="preserve">    3.4 หมุนเวียนสื่อสู่ กศน.ตำบล</t>
  </si>
  <si>
    <t xml:space="preserve">   4.1ผู้ใช้บริการใน กศน.ตำบล</t>
  </si>
  <si>
    <t xml:space="preserve">   4.2 ส่งเสริมการอ่านใน กศน.ตำบล</t>
  </si>
  <si>
    <t xml:space="preserve">   4.3 มุมส่งเสริมการอ่านในหน่วยงานราชการและ</t>
  </si>
  <si>
    <t xml:space="preserve">        สถานประกอบการ</t>
  </si>
  <si>
    <t xml:space="preserve">  5.1 ผู้ใช้บริการในบ้านหนังสืออัจฉริยะ</t>
  </si>
  <si>
    <t xml:space="preserve">  5.2 …………………………………………………………………….</t>
  </si>
  <si>
    <t xml:space="preserve">   3.1 โครงการอาสายุวกาชาดเรื่องการปฐมพยาบาล</t>
  </si>
  <si>
    <t xml:space="preserve">   3.2 โครงการรณรงค์และแก้ปัญหายาเสพติด</t>
  </si>
  <si>
    <t xml:space="preserve">   3.3 ค่ายคุณธรรมจริยธรรม</t>
  </si>
  <si>
    <t xml:space="preserve">   3.4 ค่ายวิชาการ</t>
  </si>
  <si>
    <t xml:space="preserve">   3.5 อบรมคอมพิวเตอร์เบื้องต้น (ICT)</t>
  </si>
  <si>
    <t xml:space="preserve">   3.6 เสริมสร้างเครือข่ายเยาวชนต้านภัยยาเสพติดเป็นอาสาพลังแผ่นดินเอาชนะยาเสพติด จ.ตรัง</t>
  </si>
  <si>
    <t xml:space="preserve">   3.7 โครงการส่งเสริมพัฒนาประชาธิปไตยและการเลือกตั้งตำบล</t>
  </si>
  <si>
    <t xml:space="preserve">   3.8 กิจกรรม กศน.เกมส์ภาคใต้</t>
  </si>
  <si>
    <t xml:space="preserve"> 6. การประเมินเทียบระดับการศึกษาขั้นพื้นฐาน(ปกติ)</t>
  </si>
  <si>
    <t xml:space="preserve"> 7. การประเมินเทียบระดับการศึกษาในระดับสูงสุดของการศึกษาขั้นพื้นฐาน</t>
  </si>
  <si>
    <t xml:space="preserve">   3.3 ลูกเสือชาวบ้าน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</si>
</sst>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46" applyFont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187" fontId="3" fillId="0" borderId="10" xfId="3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6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5" borderId="0" xfId="0" applyFont="1" applyFill="1" applyAlignment="1">
      <alignment/>
    </xf>
    <xf numFmtId="43" fontId="3" fillId="0" borderId="0" xfId="38" applyFont="1" applyAlignment="1">
      <alignment/>
    </xf>
    <xf numFmtId="0" fontId="4" fillId="35" borderId="0" xfId="0" applyFont="1" applyFill="1" applyAlignment="1">
      <alignment/>
    </xf>
    <xf numFmtId="43" fontId="4" fillId="0" borderId="0" xfId="38" applyFont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187" fontId="6" fillId="0" borderId="10" xfId="38" applyNumberFormat="1" applyFont="1" applyBorder="1" applyAlignment="1">
      <alignment/>
    </xf>
    <xf numFmtId="43" fontId="6" fillId="0" borderId="10" xfId="38" applyFont="1" applyBorder="1" applyAlignment="1">
      <alignment/>
    </xf>
    <xf numFmtId="0" fontId="6" fillId="35" borderId="0" xfId="0" applyFont="1" applyFill="1" applyAlignment="1">
      <alignment/>
    </xf>
    <xf numFmtId="43" fontId="6" fillId="0" borderId="0" xfId="38" applyFont="1" applyAlignment="1">
      <alignment/>
    </xf>
    <xf numFmtId="41" fontId="3" fillId="0" borderId="10" xfId="0" applyNumberFormat="1" applyFont="1" applyFill="1" applyBorder="1" applyAlignment="1">
      <alignment/>
    </xf>
    <xf numFmtId="187" fontId="4" fillId="0" borderId="10" xfId="38" applyNumberFormat="1" applyFont="1" applyFill="1" applyBorder="1" applyAlignment="1">
      <alignment/>
    </xf>
    <xf numFmtId="43" fontId="3" fillId="0" borderId="10" xfId="38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187" fontId="3" fillId="0" borderId="0" xfId="0" applyNumberFormat="1" applyFont="1" applyAlignment="1">
      <alignment/>
    </xf>
    <xf numFmtId="187" fontId="3" fillId="35" borderId="0" xfId="0" applyNumberFormat="1" applyFont="1" applyFill="1" applyAlignment="1">
      <alignment/>
    </xf>
    <xf numFmtId="43" fontId="3" fillId="0" borderId="0" xfId="38" applyFont="1" applyFill="1" applyAlignment="1">
      <alignment/>
    </xf>
    <xf numFmtId="43" fontId="3" fillId="0" borderId="10" xfId="38" applyNumberFormat="1" applyFont="1" applyFill="1" applyBorder="1" applyAlignment="1">
      <alignment/>
    </xf>
    <xf numFmtId="187" fontId="4" fillId="0" borderId="10" xfId="38" applyNumberFormat="1" applyFont="1" applyBorder="1" applyAlignment="1">
      <alignment/>
    </xf>
    <xf numFmtId="43" fontId="3" fillId="0" borderId="10" xfId="38" applyFont="1" applyBorder="1" applyAlignment="1">
      <alignment/>
    </xf>
    <xf numFmtId="187" fontId="3" fillId="0" borderId="10" xfId="38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187" fontId="4" fillId="0" borderId="10" xfId="38" applyNumberFormat="1" applyFont="1" applyFill="1" applyBorder="1" applyAlignment="1">
      <alignment wrapText="1"/>
    </xf>
    <xf numFmtId="43" fontId="3" fillId="0" borderId="10" xfId="38" applyFont="1" applyFill="1" applyBorder="1" applyAlignment="1">
      <alignment wrapText="1"/>
    </xf>
    <xf numFmtId="187" fontId="3" fillId="0" borderId="10" xfId="38" applyNumberFormat="1" applyFont="1" applyFill="1" applyBorder="1" applyAlignment="1">
      <alignment wrapText="1"/>
    </xf>
    <xf numFmtId="43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3" fontId="3" fillId="0" borderId="0" xfId="38" applyFont="1" applyFill="1" applyAlignment="1">
      <alignment wrapText="1"/>
    </xf>
    <xf numFmtId="0" fontId="3" fillId="35" borderId="0" xfId="0" applyFont="1" applyFill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87" fontId="4" fillId="36" borderId="10" xfId="38" applyNumberFormat="1" applyFont="1" applyFill="1" applyBorder="1" applyAlignment="1">
      <alignment/>
    </xf>
    <xf numFmtId="43" fontId="3" fillId="36" borderId="10" xfId="38" applyFont="1" applyFill="1" applyBorder="1" applyAlignment="1">
      <alignment/>
    </xf>
    <xf numFmtId="187" fontId="3" fillId="36" borderId="10" xfId="38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87" fontId="4" fillId="37" borderId="10" xfId="38" applyNumberFormat="1" applyFont="1" applyFill="1" applyBorder="1" applyAlignment="1">
      <alignment/>
    </xf>
    <xf numFmtId="43" fontId="3" fillId="37" borderId="10" xfId="38" applyFont="1" applyFill="1" applyBorder="1" applyAlignment="1">
      <alignment/>
    </xf>
    <xf numFmtId="187" fontId="3" fillId="37" borderId="10" xfId="3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6" borderId="10" xfId="0" applyFont="1" applyFill="1" applyBorder="1" applyAlignment="1">
      <alignment/>
    </xf>
    <xf numFmtId="187" fontId="4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43" fontId="3" fillId="36" borderId="10" xfId="0" applyNumberFormat="1" applyFont="1" applyFill="1" applyBorder="1" applyAlignment="1">
      <alignment/>
    </xf>
    <xf numFmtId="187" fontId="3" fillId="37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wrapText="1"/>
    </xf>
    <xf numFmtId="187" fontId="4" fillId="12" borderId="10" xfId="38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41" fontId="3" fillId="12" borderId="10" xfId="0" applyNumberFormat="1" applyFont="1" applyFill="1" applyBorder="1" applyAlignment="1">
      <alignment/>
    </xf>
    <xf numFmtId="2" fontId="3" fillId="12" borderId="10" xfId="0" applyNumberFormat="1" applyFont="1" applyFill="1" applyBorder="1" applyAlignment="1">
      <alignment/>
    </xf>
    <xf numFmtId="43" fontId="3" fillId="12" borderId="10" xfId="38" applyFont="1" applyFill="1" applyBorder="1" applyAlignment="1">
      <alignment/>
    </xf>
    <xf numFmtId="187" fontId="3" fillId="12" borderId="10" xfId="38" applyNumberFormat="1" applyFont="1" applyFill="1" applyBorder="1" applyAlignment="1">
      <alignment/>
    </xf>
    <xf numFmtId="43" fontId="3" fillId="12" borderId="10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43" fontId="3" fillId="12" borderId="0" xfId="38" applyFont="1" applyFill="1" applyAlignment="1">
      <alignment/>
    </xf>
    <xf numFmtId="0" fontId="4" fillId="0" borderId="10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43" fontId="3" fillId="35" borderId="0" xfId="38" applyFont="1" applyFill="1" applyAlignment="1">
      <alignment/>
    </xf>
    <xf numFmtId="0" fontId="4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7" fontId="4" fillId="0" borderId="11" xfId="38" applyNumberFormat="1" applyFont="1" applyFill="1" applyBorder="1" applyAlignment="1">
      <alignment/>
    </xf>
    <xf numFmtId="43" fontId="4" fillId="0" borderId="11" xfId="38" applyFont="1" applyFill="1" applyBorder="1" applyAlignment="1">
      <alignment/>
    </xf>
    <xf numFmtId="43" fontId="4" fillId="0" borderId="11" xfId="38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41" fontId="4" fillId="12" borderId="10" xfId="0" applyNumberFormat="1" applyFont="1" applyFill="1" applyBorder="1" applyAlignment="1">
      <alignment/>
    </xf>
    <xf numFmtId="187" fontId="3" fillId="12" borderId="0" xfId="0" applyNumberFormat="1" applyFont="1" applyFill="1" applyAlignment="1">
      <alignment/>
    </xf>
    <xf numFmtId="187" fontId="4" fillId="0" borderId="0" xfId="38" applyNumberFormat="1" applyFont="1" applyAlignment="1">
      <alignment/>
    </xf>
    <xf numFmtId="187" fontId="3" fillId="0" borderId="0" xfId="3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187" fontId="4" fillId="0" borderId="15" xfId="38" applyNumberFormat="1" applyFont="1" applyBorder="1" applyAlignment="1">
      <alignment horizontal="center" vertical="center" wrapText="1"/>
    </xf>
    <xf numFmtId="187" fontId="4" fillId="0" borderId="16" xfId="38" applyNumberFormat="1" applyFont="1" applyBorder="1" applyAlignment="1">
      <alignment horizontal="center" vertical="center" wrapText="1"/>
    </xf>
    <xf numFmtId="187" fontId="4" fillId="0" borderId="11" xfId="38" applyNumberFormat="1" applyFont="1" applyBorder="1" applyAlignment="1">
      <alignment horizontal="center" vertical="center" wrapText="1"/>
    </xf>
    <xf numFmtId="43" fontId="4" fillId="0" borderId="15" xfId="38" applyFont="1" applyBorder="1" applyAlignment="1">
      <alignment horizontal="center" vertical="center" wrapText="1"/>
    </xf>
    <xf numFmtId="43" fontId="4" fillId="0" borderId="16" xfId="38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 vertical="center" wrapText="1"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2" fillId="0" borderId="0" xfId="34" applyFont="1" applyAlignment="1">
      <alignment horizontal="center"/>
      <protection/>
    </xf>
    <xf numFmtId="0" fontId="2" fillId="0" borderId="12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>
      <alignment/>
      <protection/>
    </xf>
    <xf numFmtId="0" fontId="4" fillId="0" borderId="16" xfId="34" applyFont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20" xfId="34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0" xfId="34" applyFont="1" applyFill="1" applyAlignment="1">
      <alignment horizontal="center"/>
      <protection/>
    </xf>
    <xf numFmtId="0" fontId="4" fillId="33" borderId="10" xfId="34" applyFont="1" applyFill="1" applyBorder="1" applyAlignment="1">
      <alignment horizontal="left" vertical="center"/>
      <protection/>
    </xf>
    <xf numFmtId="0" fontId="4" fillId="0" borderId="22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left" vertical="center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>
      <alignment/>
      <protection/>
    </xf>
    <xf numFmtId="0" fontId="6" fillId="0" borderId="0" xfId="34" applyFont="1">
      <alignment/>
      <protection/>
    </xf>
    <xf numFmtId="0" fontId="4" fillId="0" borderId="10" xfId="34" applyFont="1" applyFill="1" applyBorder="1" applyAlignment="1">
      <alignment/>
      <protection/>
    </xf>
    <xf numFmtId="0" fontId="3" fillId="0" borderId="10" xfId="34" applyFont="1" applyFill="1" applyBorder="1">
      <alignment/>
      <protection/>
    </xf>
    <xf numFmtId="0" fontId="4" fillId="0" borderId="10" xfId="34" applyFont="1" applyFill="1" applyBorder="1">
      <alignment/>
      <protection/>
    </xf>
    <xf numFmtId="2" fontId="3" fillId="0" borderId="10" xfId="34" applyNumberFormat="1" applyFont="1" applyFill="1" applyBorder="1">
      <alignment/>
      <protection/>
    </xf>
    <xf numFmtId="4" fontId="3" fillId="0" borderId="10" xfId="34" applyNumberFormat="1" applyFont="1" applyFill="1" applyBorder="1">
      <alignment/>
      <protection/>
    </xf>
    <xf numFmtId="187" fontId="3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 wrapText="1"/>
      <protection/>
    </xf>
    <xf numFmtId="0" fontId="3" fillId="34" borderId="10" xfId="34" applyFont="1" applyFill="1" applyBorder="1">
      <alignment/>
      <protection/>
    </xf>
    <xf numFmtId="3" fontId="3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 horizontal="left" wrapText="1"/>
      <protection/>
    </xf>
    <xf numFmtId="0" fontId="4" fillId="34" borderId="10" xfId="34" applyFont="1" applyFill="1" applyBorder="1">
      <alignment/>
      <protection/>
    </xf>
    <xf numFmtId="2" fontId="4" fillId="0" borderId="10" xfId="34" applyNumberFormat="1" applyFont="1" applyFill="1" applyBorder="1">
      <alignment/>
      <protection/>
    </xf>
    <xf numFmtId="0" fontId="3" fillId="0" borderId="10" xfId="34" applyFont="1" applyBorder="1">
      <alignment/>
      <protection/>
    </xf>
    <xf numFmtId="0" fontId="3" fillId="0" borderId="10" xfId="34" applyFont="1" applyFill="1" applyBorder="1" applyAlignment="1">
      <alignment horizontal="center" vertical="center"/>
      <protection/>
    </xf>
    <xf numFmtId="4" fontId="4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/>
      <protection/>
    </xf>
    <xf numFmtId="0" fontId="4" fillId="33" borderId="10" xfId="34" applyFont="1" applyFill="1" applyBorder="1" applyAlignment="1">
      <alignment wrapText="1"/>
      <protection/>
    </xf>
    <xf numFmtId="0" fontId="3" fillId="33" borderId="10" xfId="34" applyFont="1" applyFill="1" applyBorder="1">
      <alignment/>
      <protection/>
    </xf>
    <xf numFmtId="0" fontId="4" fillId="0" borderId="10" xfId="34" applyFont="1" applyFill="1" applyBorder="1" applyAlignment="1">
      <alignment wrapText="1"/>
      <protection/>
    </xf>
    <xf numFmtId="0" fontId="4" fillId="33" borderId="10" xfId="34" applyFont="1" applyFill="1" applyBorder="1" applyAlignment="1">
      <alignment/>
      <protection/>
    </xf>
    <xf numFmtId="3" fontId="3" fillId="0" borderId="10" xfId="34" applyNumberFormat="1" applyFont="1" applyBorder="1">
      <alignment/>
      <protection/>
    </xf>
    <xf numFmtId="4" fontId="3" fillId="0" borderId="10" xfId="34" applyNumberFormat="1" applyFont="1" applyBorder="1">
      <alignment/>
      <protection/>
    </xf>
    <xf numFmtId="2" fontId="3" fillId="0" borderId="10" xfId="34" applyNumberFormat="1" applyFont="1" applyBorder="1">
      <alignment/>
      <protection/>
    </xf>
    <xf numFmtId="3" fontId="4" fillId="0" borderId="10" xfId="34" applyNumberFormat="1" applyFont="1" applyFill="1" applyBorder="1">
      <alignment/>
      <protection/>
    </xf>
    <xf numFmtId="3" fontId="4" fillId="0" borderId="10" xfId="33" applyNumberFormat="1" applyFont="1" applyFill="1" applyBorder="1" applyAlignment="1">
      <alignment/>
    </xf>
    <xf numFmtId="3" fontId="3" fillId="0" borderId="10" xfId="33" applyNumberFormat="1" applyFont="1" applyFill="1" applyBorder="1" applyAlignment="1">
      <alignment/>
    </xf>
    <xf numFmtId="0" fontId="4" fillId="0" borderId="10" xfId="34" applyFont="1" applyBorder="1">
      <alignment/>
      <protection/>
    </xf>
    <xf numFmtId="3" fontId="4" fillId="0" borderId="10" xfId="34" applyNumberFormat="1" applyFont="1" applyBorder="1">
      <alignment/>
      <protection/>
    </xf>
    <xf numFmtId="2" fontId="4" fillId="38" borderId="10" xfId="34" applyNumberFormat="1" applyFont="1" applyFill="1" applyBorder="1">
      <alignment/>
      <protection/>
    </xf>
    <xf numFmtId="43" fontId="4" fillId="0" borderId="10" xfId="38" applyFont="1" applyBorder="1" applyAlignment="1">
      <alignment/>
    </xf>
    <xf numFmtId="2" fontId="4" fillId="0" borderId="10" xfId="34" applyNumberFormat="1" applyFont="1" applyBorder="1">
      <alignment/>
      <protection/>
    </xf>
    <xf numFmtId="0" fontId="4" fillId="33" borderId="10" xfId="34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3" fillId="0" borderId="10" xfId="34" applyFont="1" applyBorder="1" applyAlignment="1">
      <alignment wrapText="1"/>
      <protection/>
    </xf>
    <xf numFmtId="0" fontId="3" fillId="0" borderId="10" xfId="34" applyFont="1" applyBorder="1" applyAlignment="1">
      <alignment horizontal="left" wrapText="1"/>
      <protection/>
    </xf>
    <xf numFmtId="0" fontId="3" fillId="34" borderId="10" xfId="34" applyFont="1" applyFill="1" applyBorder="1" applyAlignment="1">
      <alignment horizontal="left" wrapText="1"/>
      <protection/>
    </xf>
    <xf numFmtId="187" fontId="3" fillId="34" borderId="10" xfId="38" applyNumberFormat="1" applyFont="1" applyFill="1" applyBorder="1" applyAlignment="1">
      <alignment/>
    </xf>
    <xf numFmtId="0" fontId="3" fillId="34" borderId="0" xfId="34" applyFont="1" applyFill="1">
      <alignment/>
      <protection/>
    </xf>
    <xf numFmtId="187" fontId="4" fillId="34" borderId="10" xfId="38" applyNumberFormat="1" applyFont="1" applyFill="1" applyBorder="1" applyAlignment="1">
      <alignment/>
    </xf>
    <xf numFmtId="3" fontId="4" fillId="34" borderId="10" xfId="34" applyNumberFormat="1" applyFont="1" applyFill="1" applyBorder="1">
      <alignment/>
      <protection/>
    </xf>
    <xf numFmtId="4" fontId="4" fillId="34" borderId="10" xfId="34" applyNumberFormat="1" applyFont="1" applyFill="1" applyBorder="1">
      <alignment/>
      <protection/>
    </xf>
    <xf numFmtId="43" fontId="4" fillId="34" borderId="10" xfId="38" applyNumberFormat="1" applyFont="1" applyFill="1" applyBorder="1" applyAlignment="1">
      <alignment/>
    </xf>
    <xf numFmtId="43" fontId="6" fillId="34" borderId="10" xfId="38" applyNumberFormat="1" applyFont="1" applyFill="1" applyBorder="1" applyAlignment="1">
      <alignment/>
    </xf>
    <xf numFmtId="2" fontId="4" fillId="34" borderId="10" xfId="34" applyNumberFormat="1" applyFont="1" applyFill="1" applyBorder="1">
      <alignment/>
      <protection/>
    </xf>
    <xf numFmtId="0" fontId="4" fillId="34" borderId="0" xfId="34" applyFont="1" applyFill="1">
      <alignment/>
      <protection/>
    </xf>
    <xf numFmtId="0" fontId="4" fillId="0" borderId="10" xfId="34" applyFont="1" applyBorder="1" applyAlignment="1">
      <alignment wrapText="1"/>
      <protection/>
    </xf>
    <xf numFmtId="0" fontId="3" fillId="38" borderId="10" xfId="34" applyFont="1" applyFill="1" applyBorder="1" applyAlignment="1">
      <alignment wrapText="1"/>
      <protection/>
    </xf>
    <xf numFmtId="0" fontId="3" fillId="38" borderId="10" xfId="34" applyFont="1" applyFill="1" applyBorder="1">
      <alignment/>
      <protection/>
    </xf>
    <xf numFmtId="0" fontId="4" fillId="38" borderId="10" xfId="34" applyFont="1" applyFill="1" applyBorder="1">
      <alignment/>
      <protection/>
    </xf>
    <xf numFmtId="0" fontId="3" fillId="38" borderId="0" xfId="34" applyFont="1" applyFill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selection activeCell="A7" sqref="A7"/>
    </sheetView>
  </sheetViews>
  <sheetFormatPr defaultColWidth="6.8515625" defaultRowHeight="15"/>
  <cols>
    <col min="1" max="1" width="42.00390625" style="1" customWidth="1"/>
    <col min="2" max="2" width="8.421875" style="1" customWidth="1"/>
    <col min="3" max="3" width="6.57421875" style="1" customWidth="1"/>
    <col min="4" max="4" width="7.140625" style="1" customWidth="1"/>
    <col min="5" max="5" width="6.421875" style="1" customWidth="1"/>
    <col min="6" max="12" width="5.421875" style="1" customWidth="1"/>
    <col min="13" max="13" width="5.28125" style="1" customWidth="1"/>
    <col min="14" max="14" width="6.28125" style="1" customWidth="1"/>
    <col min="15" max="15" width="6.7109375" style="1" customWidth="1"/>
    <col min="16" max="16" width="6.28125" style="1" customWidth="1"/>
    <col min="17" max="18" width="10.421875" style="1" customWidth="1"/>
    <col min="19" max="19" width="8.8515625" style="1" customWidth="1"/>
    <col min="20" max="22" width="10.421875" style="1" customWidth="1"/>
    <col min="23" max="16384" width="6.8515625" style="1" customWidth="1"/>
  </cols>
  <sheetData>
    <row r="1" spans="1:22" ht="23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23.2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4" s="3" customFormat="1" ht="71.25" customHeight="1">
      <c r="A4" s="121" t="s">
        <v>3</v>
      </c>
      <c r="B4" s="123" t="s">
        <v>4</v>
      </c>
      <c r="C4" s="126" t="s">
        <v>5</v>
      </c>
      <c r="D4" s="127"/>
      <c r="E4" s="128"/>
      <c r="F4" s="126" t="s">
        <v>6</v>
      </c>
      <c r="G4" s="127"/>
      <c r="H4" s="127"/>
      <c r="I4" s="127"/>
      <c r="J4" s="127"/>
      <c r="K4" s="127"/>
      <c r="L4" s="127"/>
      <c r="M4" s="128"/>
      <c r="N4" s="126" t="s">
        <v>7</v>
      </c>
      <c r="O4" s="127"/>
      <c r="P4" s="128"/>
      <c r="Q4" s="123" t="s">
        <v>8</v>
      </c>
      <c r="R4" s="123" t="s">
        <v>9</v>
      </c>
      <c r="S4" s="123" t="s">
        <v>10</v>
      </c>
      <c r="T4" s="123" t="s">
        <v>11</v>
      </c>
      <c r="U4" s="123" t="s">
        <v>12</v>
      </c>
      <c r="V4" s="123" t="s">
        <v>13</v>
      </c>
      <c r="W4" s="2"/>
      <c r="X4" s="2"/>
    </row>
    <row r="5" spans="1:24" s="3" customFormat="1" ht="28.5" customHeight="1">
      <c r="A5" s="122"/>
      <c r="B5" s="124"/>
      <c r="C5" s="129"/>
      <c r="D5" s="130"/>
      <c r="E5" s="131"/>
      <c r="F5" s="138" t="s">
        <v>14</v>
      </c>
      <c r="G5" s="138"/>
      <c r="H5" s="138" t="s">
        <v>15</v>
      </c>
      <c r="I5" s="138"/>
      <c r="J5" s="138" t="s">
        <v>16</v>
      </c>
      <c r="K5" s="138"/>
      <c r="L5" s="138" t="s">
        <v>17</v>
      </c>
      <c r="M5" s="138"/>
      <c r="N5" s="132"/>
      <c r="O5" s="133"/>
      <c r="P5" s="134"/>
      <c r="Q5" s="124"/>
      <c r="R5" s="124"/>
      <c r="S5" s="124"/>
      <c r="T5" s="124"/>
      <c r="U5" s="124"/>
      <c r="V5" s="124"/>
      <c r="W5" s="2"/>
      <c r="X5" s="2"/>
    </row>
    <row r="6" spans="1:22" s="3" customFormat="1" ht="24" customHeight="1">
      <c r="A6" s="122"/>
      <c r="B6" s="125"/>
      <c r="C6" s="4" t="s">
        <v>18</v>
      </c>
      <c r="D6" s="4" t="s">
        <v>19</v>
      </c>
      <c r="E6" s="5" t="s">
        <v>20</v>
      </c>
      <c r="F6" s="4" t="s">
        <v>18</v>
      </c>
      <c r="G6" s="4" t="s">
        <v>19</v>
      </c>
      <c r="H6" s="4" t="s">
        <v>18</v>
      </c>
      <c r="I6" s="4" t="s">
        <v>19</v>
      </c>
      <c r="J6" s="4" t="s">
        <v>18</v>
      </c>
      <c r="K6" s="4" t="s">
        <v>19</v>
      </c>
      <c r="L6" s="4" t="s">
        <v>18</v>
      </c>
      <c r="M6" s="4" t="s">
        <v>19</v>
      </c>
      <c r="N6" s="4" t="s">
        <v>18</v>
      </c>
      <c r="O6" s="4" t="s">
        <v>19</v>
      </c>
      <c r="P6" s="4" t="s">
        <v>21</v>
      </c>
      <c r="Q6" s="125"/>
      <c r="R6" s="125"/>
      <c r="S6" s="125"/>
      <c r="T6" s="125"/>
      <c r="U6" s="125"/>
      <c r="V6" s="125"/>
    </row>
    <row r="7" spans="1:22" s="3" customFormat="1" ht="24" customHeight="1">
      <c r="A7" s="6" t="s">
        <v>22</v>
      </c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/>
    </row>
    <row r="8" spans="1:22" s="12" customFormat="1" ht="26.25" customHeight="1">
      <c r="A8" s="7" t="s">
        <v>23</v>
      </c>
      <c r="B8" s="8"/>
      <c r="C8" s="9"/>
      <c r="D8" s="8"/>
      <c r="E8" s="10"/>
      <c r="F8" s="9"/>
      <c r="G8" s="8"/>
      <c r="H8" s="9"/>
      <c r="I8" s="8"/>
      <c r="J8" s="9"/>
      <c r="K8" s="8"/>
      <c r="L8" s="9"/>
      <c r="M8" s="8"/>
      <c r="N8" s="9"/>
      <c r="O8" s="8"/>
      <c r="P8" s="10"/>
      <c r="Q8" s="8"/>
      <c r="R8" s="11"/>
      <c r="S8" s="11"/>
      <c r="T8" s="11"/>
      <c r="U8" s="11"/>
      <c r="V8" s="11"/>
    </row>
    <row r="9" spans="1:22" s="21" customFormat="1" ht="21">
      <c r="A9" s="13" t="s">
        <v>24</v>
      </c>
      <c r="B9" s="14">
        <v>7</v>
      </c>
      <c r="C9" s="15"/>
      <c r="D9" s="16"/>
      <c r="E9" s="17">
        <f>(C9+D9)</f>
        <v>0</v>
      </c>
      <c r="F9" s="15"/>
      <c r="G9" s="16"/>
      <c r="H9" s="15">
        <v>3</v>
      </c>
      <c r="I9" s="16">
        <v>4</v>
      </c>
      <c r="J9" s="15">
        <v>2</v>
      </c>
      <c r="K9" s="16"/>
      <c r="L9" s="15"/>
      <c r="M9" s="16"/>
      <c r="N9" s="15">
        <f>(C9+F9+H9+J9+L9)</f>
        <v>5</v>
      </c>
      <c r="O9" s="16">
        <f>(D9+G9+I9+K9+M9)</f>
        <v>4</v>
      </c>
      <c r="P9" s="17">
        <f>(N9+O9)</f>
        <v>9</v>
      </c>
      <c r="Q9" s="18">
        <f>(P9*100)/B9</f>
        <v>128.57142857142858</v>
      </c>
      <c r="R9" s="19">
        <v>3850</v>
      </c>
      <c r="S9" s="19">
        <v>3850</v>
      </c>
      <c r="T9" s="16"/>
      <c r="U9" s="16">
        <f>(S9+T9)</f>
        <v>3850</v>
      </c>
      <c r="V9" s="20">
        <f>(U9*100)/R9</f>
        <v>100</v>
      </c>
    </row>
    <row r="10" spans="1:22" s="21" customFormat="1" ht="21">
      <c r="A10" s="22" t="s">
        <v>25</v>
      </c>
      <c r="B10" s="14"/>
      <c r="C10" s="15"/>
      <c r="D10" s="16"/>
      <c r="E10" s="17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7"/>
      <c r="Q10" s="16"/>
      <c r="R10" s="16"/>
      <c r="S10" s="16"/>
      <c r="T10" s="16"/>
      <c r="U10" s="16"/>
      <c r="V10" s="16"/>
    </row>
    <row r="11" spans="1:22" s="21" customFormat="1" ht="21">
      <c r="A11" s="22" t="s">
        <v>26</v>
      </c>
      <c r="B11" s="14">
        <v>55</v>
      </c>
      <c r="C11" s="15">
        <f>SUM(C12:C14)</f>
        <v>21</v>
      </c>
      <c r="D11" s="15">
        <f aca="true" t="shared" si="0" ref="D11:M11">SUM(D12:D14)</f>
        <v>35</v>
      </c>
      <c r="E11" s="15">
        <f t="shared" si="0"/>
        <v>56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>(C11+F11+H11+J11+L11)</f>
        <v>21</v>
      </c>
      <c r="O11" s="16">
        <f>(D11+G11+I11+K11+M11)</f>
        <v>35</v>
      </c>
      <c r="P11" s="17">
        <f aca="true" t="shared" si="1" ref="P11:P18">(N11+O11)</f>
        <v>56</v>
      </c>
      <c r="Q11" s="18">
        <f aca="true" t="shared" si="2" ref="Q11:Q18">(P11*100)/B11</f>
        <v>101.81818181818181</v>
      </c>
      <c r="R11" s="19">
        <f>SUM(R12:R14)</f>
        <v>49500</v>
      </c>
      <c r="S11" s="19">
        <f>SUM(S12:S14)</f>
        <v>49500</v>
      </c>
      <c r="T11" s="16">
        <f>SUM(T12:T14)</f>
        <v>0</v>
      </c>
      <c r="U11" s="16">
        <f>(S11+T11)</f>
        <v>49500</v>
      </c>
      <c r="V11" s="20">
        <f>(U11*100)/R11</f>
        <v>100</v>
      </c>
    </row>
    <row r="12" spans="1:22" s="21" customFormat="1" ht="21">
      <c r="A12" s="23" t="s">
        <v>27</v>
      </c>
      <c r="B12" s="14">
        <v>18</v>
      </c>
      <c r="C12" s="15">
        <v>9</v>
      </c>
      <c r="D12" s="16">
        <v>9</v>
      </c>
      <c r="E12" s="17">
        <f>(C12+D12)</f>
        <v>18</v>
      </c>
      <c r="F12" s="15"/>
      <c r="G12" s="16"/>
      <c r="H12" s="15"/>
      <c r="I12" s="16"/>
      <c r="J12" s="15"/>
      <c r="K12" s="16"/>
      <c r="L12" s="15"/>
      <c r="M12" s="16"/>
      <c r="N12" s="15">
        <f>(C12+F12+H12+J12+L12)</f>
        <v>9</v>
      </c>
      <c r="O12" s="16">
        <f>(D12+G12+I12+K12+M12)</f>
        <v>9</v>
      </c>
      <c r="P12" s="17">
        <f t="shared" si="1"/>
        <v>18</v>
      </c>
      <c r="Q12" s="18">
        <f t="shared" si="2"/>
        <v>100</v>
      </c>
      <c r="R12" s="19">
        <v>16500</v>
      </c>
      <c r="S12" s="19">
        <v>16500</v>
      </c>
      <c r="T12" s="19"/>
      <c r="U12" s="16"/>
      <c r="V12" s="16"/>
    </row>
    <row r="13" spans="1:22" s="21" customFormat="1" ht="21">
      <c r="A13" s="23" t="s">
        <v>28</v>
      </c>
      <c r="B13" s="14">
        <v>19</v>
      </c>
      <c r="C13" s="15"/>
      <c r="D13" s="16">
        <v>20</v>
      </c>
      <c r="E13" s="17">
        <f>(C13+D13)</f>
        <v>20</v>
      </c>
      <c r="F13" s="15"/>
      <c r="G13" s="16"/>
      <c r="H13" s="15"/>
      <c r="I13" s="16"/>
      <c r="J13" s="15"/>
      <c r="K13" s="16"/>
      <c r="L13" s="15"/>
      <c r="M13" s="16"/>
      <c r="N13" s="15">
        <f aca="true" t="shared" si="3" ref="N13:O15">(C13+F13+H13+J13+L13)</f>
        <v>0</v>
      </c>
      <c r="O13" s="16">
        <f t="shared" si="3"/>
        <v>20</v>
      </c>
      <c r="P13" s="17">
        <f t="shared" si="1"/>
        <v>20</v>
      </c>
      <c r="Q13" s="18">
        <f t="shared" si="2"/>
        <v>105.26315789473684</v>
      </c>
      <c r="R13" s="19">
        <v>16500</v>
      </c>
      <c r="S13" s="19">
        <v>16500</v>
      </c>
      <c r="T13" s="19"/>
      <c r="U13" s="16"/>
      <c r="V13" s="16"/>
    </row>
    <row r="14" spans="1:22" s="21" customFormat="1" ht="24.75" customHeight="1">
      <c r="A14" s="23" t="s">
        <v>29</v>
      </c>
      <c r="B14" s="14">
        <v>18</v>
      </c>
      <c r="C14" s="15">
        <v>12</v>
      </c>
      <c r="D14" s="16">
        <v>6</v>
      </c>
      <c r="E14" s="17">
        <f>(C14+D14)</f>
        <v>18</v>
      </c>
      <c r="F14" s="15"/>
      <c r="G14" s="16"/>
      <c r="H14" s="15"/>
      <c r="I14" s="16"/>
      <c r="J14" s="15"/>
      <c r="K14" s="16"/>
      <c r="L14" s="15"/>
      <c r="M14" s="16"/>
      <c r="N14" s="15">
        <f t="shared" si="3"/>
        <v>12</v>
      </c>
      <c r="O14" s="16">
        <f t="shared" si="3"/>
        <v>6</v>
      </c>
      <c r="P14" s="17">
        <f t="shared" si="1"/>
        <v>18</v>
      </c>
      <c r="Q14" s="18">
        <f t="shared" si="2"/>
        <v>100</v>
      </c>
      <c r="R14" s="19">
        <v>16500</v>
      </c>
      <c r="S14" s="19">
        <v>16500</v>
      </c>
      <c r="T14" s="19"/>
      <c r="U14" s="16"/>
      <c r="V14" s="16"/>
    </row>
    <row r="15" spans="1:22" s="21" customFormat="1" ht="21">
      <c r="A15" s="24" t="s">
        <v>30</v>
      </c>
      <c r="B15" s="14">
        <v>75</v>
      </c>
      <c r="C15" s="15">
        <f>SUM(C16:C18)</f>
        <v>25</v>
      </c>
      <c r="D15" s="15">
        <f>SUM(D16:D18)</f>
        <v>50</v>
      </c>
      <c r="E15" s="15">
        <f>SUM(E16:E18)</f>
        <v>75</v>
      </c>
      <c r="F15" s="15">
        <f>SUM(F16:F18)</f>
        <v>0</v>
      </c>
      <c r="G15" s="15">
        <f aca="true" t="shared" si="4" ref="G15:M15">SUM(G16:G18)</f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3"/>
        <v>25</v>
      </c>
      <c r="O15" s="16">
        <f t="shared" si="3"/>
        <v>50</v>
      </c>
      <c r="P15" s="17">
        <f t="shared" si="1"/>
        <v>75</v>
      </c>
      <c r="Q15" s="18">
        <f t="shared" si="2"/>
        <v>100</v>
      </c>
      <c r="R15" s="19">
        <f>SUM(R16:R18)</f>
        <v>60000</v>
      </c>
      <c r="S15" s="16">
        <f>SUM(S16:S18)</f>
        <v>60000</v>
      </c>
      <c r="T15" s="16">
        <f>SUM(T16:T18)</f>
        <v>0</v>
      </c>
      <c r="U15" s="16">
        <f>(S15+T15)</f>
        <v>60000</v>
      </c>
      <c r="V15" s="20">
        <f>(U15*100)/R15</f>
        <v>100</v>
      </c>
    </row>
    <row r="16" spans="1:22" s="21" customFormat="1" ht="21">
      <c r="A16" s="23" t="s">
        <v>31</v>
      </c>
      <c r="B16" s="14">
        <v>25</v>
      </c>
      <c r="C16" s="15">
        <v>25</v>
      </c>
      <c r="D16" s="16"/>
      <c r="E16" s="17">
        <f>(C16+D16)</f>
        <v>25</v>
      </c>
      <c r="F16" s="15"/>
      <c r="G16" s="16"/>
      <c r="H16" s="15"/>
      <c r="I16" s="16"/>
      <c r="J16" s="15"/>
      <c r="K16" s="16"/>
      <c r="L16" s="15"/>
      <c r="M16" s="16"/>
      <c r="N16" s="15">
        <f aca="true" t="shared" si="5" ref="N16:O18">(C16+F16+H16+J16+L16)</f>
        <v>25</v>
      </c>
      <c r="O16" s="16">
        <f t="shared" si="5"/>
        <v>0</v>
      </c>
      <c r="P16" s="17">
        <f t="shared" si="1"/>
        <v>25</v>
      </c>
      <c r="Q16" s="18">
        <f t="shared" si="2"/>
        <v>100</v>
      </c>
      <c r="R16" s="19">
        <v>20000</v>
      </c>
      <c r="S16" s="19">
        <v>20000</v>
      </c>
      <c r="T16" s="19"/>
      <c r="U16" s="16"/>
      <c r="V16" s="16"/>
    </row>
    <row r="17" spans="1:22" s="21" customFormat="1" ht="21">
      <c r="A17" s="23" t="s">
        <v>32</v>
      </c>
      <c r="B17" s="14">
        <v>25</v>
      </c>
      <c r="C17" s="15"/>
      <c r="D17" s="16">
        <v>25</v>
      </c>
      <c r="E17" s="17">
        <f>(C17+D17)</f>
        <v>25</v>
      </c>
      <c r="F17" s="15"/>
      <c r="G17" s="16"/>
      <c r="H17" s="15"/>
      <c r="I17" s="16"/>
      <c r="J17" s="15"/>
      <c r="K17" s="16"/>
      <c r="L17" s="15"/>
      <c r="M17" s="16"/>
      <c r="N17" s="15">
        <f t="shared" si="5"/>
        <v>0</v>
      </c>
      <c r="O17" s="16">
        <f t="shared" si="5"/>
        <v>25</v>
      </c>
      <c r="P17" s="17">
        <f t="shared" si="1"/>
        <v>25</v>
      </c>
      <c r="Q17" s="18">
        <f t="shared" si="2"/>
        <v>100</v>
      </c>
      <c r="R17" s="19">
        <v>20000</v>
      </c>
      <c r="S17" s="19">
        <v>20000</v>
      </c>
      <c r="T17" s="19"/>
      <c r="U17" s="16"/>
      <c r="V17" s="16"/>
    </row>
    <row r="18" spans="1:22" s="21" customFormat="1" ht="21">
      <c r="A18" s="23" t="s">
        <v>33</v>
      </c>
      <c r="B18" s="14">
        <v>25</v>
      </c>
      <c r="C18" s="15"/>
      <c r="D18" s="16">
        <v>25</v>
      </c>
      <c r="E18" s="17">
        <f>(C18+D18)</f>
        <v>25</v>
      </c>
      <c r="F18" s="15"/>
      <c r="G18" s="16"/>
      <c r="H18" s="15"/>
      <c r="I18" s="16"/>
      <c r="J18" s="15"/>
      <c r="K18" s="16"/>
      <c r="L18" s="15"/>
      <c r="M18" s="16"/>
      <c r="N18" s="15">
        <f t="shared" si="5"/>
        <v>0</v>
      </c>
      <c r="O18" s="16">
        <f t="shared" si="5"/>
        <v>25</v>
      </c>
      <c r="P18" s="17">
        <f t="shared" si="1"/>
        <v>25</v>
      </c>
      <c r="Q18" s="18">
        <f t="shared" si="2"/>
        <v>100</v>
      </c>
      <c r="R18" s="19">
        <v>20000</v>
      </c>
      <c r="S18" s="19">
        <v>20000</v>
      </c>
      <c r="T18" s="19"/>
      <c r="U18" s="16"/>
      <c r="V18" s="16"/>
    </row>
    <row r="19" spans="1:22" s="21" customFormat="1" ht="21">
      <c r="A19" s="13" t="s">
        <v>34</v>
      </c>
      <c r="B19" s="14">
        <v>105</v>
      </c>
      <c r="C19" s="15"/>
      <c r="D19" s="16"/>
      <c r="E19" s="17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7"/>
      <c r="Q19" s="16"/>
      <c r="R19" s="19">
        <v>12075</v>
      </c>
      <c r="S19" s="19">
        <f>SUM(S20:S21)</f>
        <v>12075</v>
      </c>
      <c r="T19" s="19">
        <f>SUM(T20:T21)</f>
        <v>0</v>
      </c>
      <c r="U19" s="16">
        <f>(S19+T19)</f>
        <v>12075</v>
      </c>
      <c r="V19" s="20">
        <f>(U19*100)/R19</f>
        <v>100</v>
      </c>
    </row>
    <row r="20" spans="1:22" s="21" customFormat="1" ht="42">
      <c r="A20" s="23" t="s">
        <v>35</v>
      </c>
      <c r="B20" s="14">
        <v>105</v>
      </c>
      <c r="C20" s="15">
        <v>55</v>
      </c>
      <c r="D20" s="16">
        <v>50</v>
      </c>
      <c r="E20" s="17">
        <f>(C20+D20)</f>
        <v>105</v>
      </c>
      <c r="F20" s="15"/>
      <c r="G20" s="16"/>
      <c r="H20" s="15"/>
      <c r="I20" s="16"/>
      <c r="J20" s="15"/>
      <c r="K20" s="16"/>
      <c r="L20" s="15"/>
      <c r="M20" s="16"/>
      <c r="N20" s="15">
        <f>(C20+F20+H20+J20+L20)</f>
        <v>55</v>
      </c>
      <c r="O20" s="16">
        <f>(D20+G20+I20+K20+M20)</f>
        <v>50</v>
      </c>
      <c r="P20" s="17">
        <f>(N20+O20)</f>
        <v>105</v>
      </c>
      <c r="Q20" s="18">
        <f>(P20*100)/B20</f>
        <v>100</v>
      </c>
      <c r="R20" s="19">
        <v>12075</v>
      </c>
      <c r="S20" s="19">
        <v>12075</v>
      </c>
      <c r="T20" s="19"/>
      <c r="U20" s="19">
        <f>(S20+T20)</f>
        <v>12075</v>
      </c>
      <c r="V20" s="20">
        <f>(U20*100)/R20</f>
        <v>100</v>
      </c>
    </row>
    <row r="21" spans="1:22" ht="21">
      <c r="A21" s="25"/>
      <c r="B21" s="26"/>
      <c r="C21" s="15"/>
      <c r="D21" s="27"/>
      <c r="E21" s="17"/>
      <c r="F21" s="15"/>
      <c r="G21" s="27"/>
      <c r="H21" s="15"/>
      <c r="I21" s="27"/>
      <c r="J21" s="15"/>
      <c r="K21" s="27"/>
      <c r="L21" s="15"/>
      <c r="M21" s="27"/>
      <c r="N21" s="15"/>
      <c r="O21" s="27"/>
      <c r="P21" s="17"/>
      <c r="Q21" s="27"/>
      <c r="R21" s="27"/>
      <c r="S21" s="27"/>
      <c r="T21" s="27"/>
      <c r="U21" s="27"/>
      <c r="V21" s="27"/>
    </row>
    <row r="22" spans="1:22" s="21" customFormat="1" ht="21">
      <c r="A22" s="13" t="s">
        <v>36</v>
      </c>
      <c r="B22" s="14">
        <v>73</v>
      </c>
      <c r="C22" s="15">
        <f>SUM(C23:C26)</f>
        <v>135</v>
      </c>
      <c r="D22" s="15">
        <f aca="true" t="shared" si="6" ref="D22:M22">SUM(D23:D26)</f>
        <v>134</v>
      </c>
      <c r="E22" s="15">
        <f t="shared" si="6"/>
        <v>269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>(C22+F22+H22+J22+L22)</f>
        <v>135</v>
      </c>
      <c r="O22" s="16">
        <f>(D22+G22+I22+K22+M22)</f>
        <v>134</v>
      </c>
      <c r="P22" s="17">
        <f>(N22+O22)</f>
        <v>269</v>
      </c>
      <c r="Q22" s="18">
        <f>(P22*100)/B22</f>
        <v>368.4931506849315</v>
      </c>
      <c r="R22" s="19">
        <v>43800</v>
      </c>
      <c r="S22" s="19">
        <f>SUM(S23:S26)</f>
        <v>43800</v>
      </c>
      <c r="T22" s="19">
        <f>SUM(T23:T26)</f>
        <v>0</v>
      </c>
      <c r="U22" s="16">
        <f>(S22+T22)</f>
        <v>43800</v>
      </c>
      <c r="V22" s="20">
        <f>(U22*100)/R22</f>
        <v>100</v>
      </c>
    </row>
    <row r="23" spans="1:22" s="21" customFormat="1" ht="21">
      <c r="A23" s="23" t="s">
        <v>37</v>
      </c>
      <c r="B23" s="14">
        <v>20</v>
      </c>
      <c r="C23" s="15">
        <v>0</v>
      </c>
      <c r="D23" s="16">
        <v>20</v>
      </c>
      <c r="E23" s="17">
        <f>(C23+D23)</f>
        <v>20</v>
      </c>
      <c r="F23" s="15"/>
      <c r="G23" s="16"/>
      <c r="H23" s="15"/>
      <c r="I23" s="16"/>
      <c r="J23" s="15"/>
      <c r="K23" s="16"/>
      <c r="L23" s="15"/>
      <c r="M23" s="16"/>
      <c r="N23" s="15">
        <f>(C23+F23+H23+J23+L23)</f>
        <v>0</v>
      </c>
      <c r="O23" s="28">
        <f aca="true" t="shared" si="7" ref="O23:O31">(D23+G23+I23+K23+M23)</f>
        <v>20</v>
      </c>
      <c r="P23" s="17">
        <f>(N23+O23)</f>
        <v>20</v>
      </c>
      <c r="Q23" s="18">
        <f>(P23*100)/B23</f>
        <v>100</v>
      </c>
      <c r="R23" s="19">
        <v>4950</v>
      </c>
      <c r="S23" s="19">
        <v>4950</v>
      </c>
      <c r="T23" s="19"/>
      <c r="U23" s="16"/>
      <c r="V23" s="16"/>
    </row>
    <row r="24" spans="1:22" s="21" customFormat="1" ht="21">
      <c r="A24" s="23" t="s">
        <v>38</v>
      </c>
      <c r="B24" s="14">
        <v>100</v>
      </c>
      <c r="C24" s="15">
        <v>57</v>
      </c>
      <c r="D24" s="16">
        <v>43</v>
      </c>
      <c r="E24" s="17">
        <f>(C24+D24)</f>
        <v>100</v>
      </c>
      <c r="F24" s="15"/>
      <c r="G24" s="16"/>
      <c r="H24" s="15"/>
      <c r="I24" s="16"/>
      <c r="J24" s="15"/>
      <c r="K24" s="16"/>
      <c r="L24" s="15"/>
      <c r="M24" s="16"/>
      <c r="N24" s="15">
        <f>(C24+F24+H24+J24+L24)</f>
        <v>57</v>
      </c>
      <c r="O24" s="28">
        <f t="shared" si="7"/>
        <v>43</v>
      </c>
      <c r="P24" s="17">
        <f aca="true" t="shared" si="8" ref="P24:P31">(N24+O24)</f>
        <v>100</v>
      </c>
      <c r="Q24" s="18">
        <f aca="true" t="shared" si="9" ref="Q24:Q31">(P24*100)/B24</f>
        <v>100</v>
      </c>
      <c r="R24" s="19">
        <v>20700</v>
      </c>
      <c r="S24" s="19">
        <v>20700</v>
      </c>
      <c r="T24" s="19"/>
      <c r="U24" s="16"/>
      <c r="V24" s="16"/>
    </row>
    <row r="25" spans="1:22" s="21" customFormat="1" ht="21">
      <c r="A25" s="23" t="s">
        <v>39</v>
      </c>
      <c r="B25" s="14">
        <v>25</v>
      </c>
      <c r="C25" s="15">
        <v>8</v>
      </c>
      <c r="D25" s="16">
        <v>17</v>
      </c>
      <c r="E25" s="17">
        <f>(C25+D25)</f>
        <v>25</v>
      </c>
      <c r="F25" s="15"/>
      <c r="G25" s="16"/>
      <c r="H25" s="15"/>
      <c r="I25" s="16"/>
      <c r="J25" s="15"/>
      <c r="K25" s="16"/>
      <c r="L25" s="15"/>
      <c r="M25" s="16"/>
      <c r="N25" s="15">
        <f>(C25+F25+H25+J25+L25)</f>
        <v>8</v>
      </c>
      <c r="O25" s="28">
        <f t="shared" si="7"/>
        <v>17</v>
      </c>
      <c r="P25" s="17">
        <f t="shared" si="8"/>
        <v>25</v>
      </c>
      <c r="Q25" s="18">
        <f t="shared" si="9"/>
        <v>100</v>
      </c>
      <c r="R25" s="19">
        <v>12050</v>
      </c>
      <c r="S25" s="29">
        <v>12050</v>
      </c>
      <c r="T25" s="16"/>
      <c r="U25" s="16"/>
      <c r="V25" s="16"/>
    </row>
    <row r="26" spans="1:22" s="21" customFormat="1" ht="42">
      <c r="A26" s="23" t="s">
        <v>40</v>
      </c>
      <c r="B26" s="14">
        <v>80</v>
      </c>
      <c r="C26" s="15">
        <v>70</v>
      </c>
      <c r="D26" s="16">
        <v>54</v>
      </c>
      <c r="E26" s="17">
        <f>(C26+D26)</f>
        <v>124</v>
      </c>
      <c r="F26" s="15"/>
      <c r="G26" s="16"/>
      <c r="H26" s="15"/>
      <c r="I26" s="16"/>
      <c r="J26" s="15"/>
      <c r="K26" s="16"/>
      <c r="L26" s="15"/>
      <c r="M26" s="16"/>
      <c r="N26" s="15">
        <f>(C26+F26+H26+J26+L26)</f>
        <v>70</v>
      </c>
      <c r="O26" s="28">
        <f t="shared" si="7"/>
        <v>54</v>
      </c>
      <c r="P26" s="17">
        <f t="shared" si="8"/>
        <v>124</v>
      </c>
      <c r="Q26" s="18">
        <f t="shared" si="9"/>
        <v>155</v>
      </c>
      <c r="R26" s="19">
        <v>6100</v>
      </c>
      <c r="S26" s="19">
        <v>6100</v>
      </c>
      <c r="T26" s="16"/>
      <c r="U26" s="16"/>
      <c r="V26" s="16"/>
    </row>
    <row r="27" spans="1:22" s="21" customFormat="1" ht="21">
      <c r="A27" s="13" t="s">
        <v>41</v>
      </c>
      <c r="B27" s="14">
        <v>39</v>
      </c>
      <c r="C27" s="15">
        <f>SUM(C28:C31)</f>
        <v>27</v>
      </c>
      <c r="D27" s="15">
        <f>SUM(D28:D31)</f>
        <v>40</v>
      </c>
      <c r="E27" s="15">
        <f>SUM(E28:E31)</f>
        <v>67</v>
      </c>
      <c r="F27" s="15">
        <f aca="true" t="shared" si="10" ref="F27:M27">SUM(F28:F31)</f>
        <v>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>F27+H27+J27+L27</f>
        <v>0</v>
      </c>
      <c r="O27" s="28">
        <f t="shared" si="7"/>
        <v>40</v>
      </c>
      <c r="P27" s="17">
        <f t="shared" si="8"/>
        <v>40</v>
      </c>
      <c r="Q27" s="18">
        <f t="shared" si="9"/>
        <v>102.56410256410257</v>
      </c>
      <c r="R27" s="19">
        <f>SUM(R28:R31)</f>
        <v>20800</v>
      </c>
      <c r="S27" s="19">
        <f>SUM(S28:S31)</f>
        <v>20800</v>
      </c>
      <c r="T27" s="19">
        <f>SUM(T28:T31)</f>
        <v>0</v>
      </c>
      <c r="U27" s="16">
        <f>(S27+T27)</f>
        <v>20800</v>
      </c>
      <c r="V27" s="20">
        <f>(U27*100)/R27</f>
        <v>100</v>
      </c>
    </row>
    <row r="28" spans="1:22" s="21" customFormat="1" ht="21">
      <c r="A28" s="30" t="s">
        <v>42</v>
      </c>
      <c r="B28" s="14">
        <v>15</v>
      </c>
      <c r="C28" s="15">
        <v>4</v>
      </c>
      <c r="D28" s="16">
        <v>11</v>
      </c>
      <c r="E28" s="17">
        <f>(C28+D28)</f>
        <v>15</v>
      </c>
      <c r="F28" s="15"/>
      <c r="G28" s="16"/>
      <c r="H28" s="15"/>
      <c r="I28" s="16"/>
      <c r="J28" s="15"/>
      <c r="K28" s="16"/>
      <c r="L28" s="15"/>
      <c r="M28" s="16"/>
      <c r="N28" s="15">
        <f>F28+H28+J28+L28</f>
        <v>0</v>
      </c>
      <c r="O28" s="28">
        <f t="shared" si="7"/>
        <v>11</v>
      </c>
      <c r="P28" s="17">
        <f t="shared" si="8"/>
        <v>11</v>
      </c>
      <c r="Q28" s="18">
        <f t="shared" si="9"/>
        <v>73.33333333333333</v>
      </c>
      <c r="R28" s="19">
        <v>15300</v>
      </c>
      <c r="S28" s="19">
        <v>15300</v>
      </c>
      <c r="T28" s="19"/>
      <c r="U28" s="16"/>
      <c r="V28" s="16"/>
    </row>
    <row r="29" spans="1:22" s="21" customFormat="1" ht="21">
      <c r="A29" s="30" t="s">
        <v>43</v>
      </c>
      <c r="B29" s="14">
        <v>15</v>
      </c>
      <c r="C29" s="15">
        <v>5</v>
      </c>
      <c r="D29" s="16">
        <v>10</v>
      </c>
      <c r="E29" s="17">
        <f>(C29+D29)</f>
        <v>15</v>
      </c>
      <c r="F29" s="15"/>
      <c r="G29" s="16"/>
      <c r="H29" s="15"/>
      <c r="I29" s="16"/>
      <c r="J29" s="15"/>
      <c r="K29" s="16"/>
      <c r="L29" s="15"/>
      <c r="M29" s="16"/>
      <c r="N29" s="15">
        <f>F29+H29+J29+L29</f>
        <v>0</v>
      </c>
      <c r="O29" s="28">
        <f t="shared" si="7"/>
        <v>10</v>
      </c>
      <c r="P29" s="17">
        <f t="shared" si="8"/>
        <v>10</v>
      </c>
      <c r="Q29" s="18">
        <f t="shared" si="9"/>
        <v>66.66666666666667</v>
      </c>
      <c r="R29" s="19">
        <v>2100</v>
      </c>
      <c r="S29" s="19">
        <v>2100</v>
      </c>
      <c r="T29" s="19"/>
      <c r="U29" s="16"/>
      <c r="V29" s="16"/>
    </row>
    <row r="30" spans="1:22" s="21" customFormat="1" ht="21">
      <c r="A30" s="30" t="s">
        <v>44</v>
      </c>
      <c r="B30" s="14">
        <v>15</v>
      </c>
      <c r="C30" s="15">
        <v>5</v>
      </c>
      <c r="D30" s="16">
        <v>17</v>
      </c>
      <c r="E30" s="17">
        <f>(C30+D30)</f>
        <v>22</v>
      </c>
      <c r="F30" s="15"/>
      <c r="G30" s="16"/>
      <c r="H30" s="15"/>
      <c r="I30" s="16"/>
      <c r="J30" s="15"/>
      <c r="K30" s="16"/>
      <c r="L30" s="15"/>
      <c r="M30" s="16"/>
      <c r="N30" s="15">
        <f>F30+H30+J30+L30</f>
        <v>0</v>
      </c>
      <c r="O30" s="28">
        <f t="shared" si="7"/>
        <v>17</v>
      </c>
      <c r="P30" s="17">
        <f t="shared" si="8"/>
        <v>17</v>
      </c>
      <c r="Q30" s="18">
        <f t="shared" si="9"/>
        <v>113.33333333333333</v>
      </c>
      <c r="R30" s="19">
        <v>1000</v>
      </c>
      <c r="S30" s="19">
        <v>1000</v>
      </c>
      <c r="T30" s="19"/>
      <c r="U30" s="16"/>
      <c r="V30" s="16"/>
    </row>
    <row r="31" spans="1:22" s="21" customFormat="1" ht="21">
      <c r="A31" s="30" t="s">
        <v>45</v>
      </c>
      <c r="B31" s="14">
        <v>15</v>
      </c>
      <c r="C31" s="15">
        <v>13</v>
      </c>
      <c r="D31" s="16">
        <v>2</v>
      </c>
      <c r="E31" s="17">
        <f>(C31+D31)</f>
        <v>15</v>
      </c>
      <c r="F31" s="15"/>
      <c r="G31" s="16"/>
      <c r="H31" s="15"/>
      <c r="I31" s="16"/>
      <c r="J31" s="15"/>
      <c r="K31" s="16"/>
      <c r="L31" s="15"/>
      <c r="M31" s="16"/>
      <c r="N31" s="15">
        <f>F31+H31+J31+L31</f>
        <v>0</v>
      </c>
      <c r="O31" s="28">
        <f t="shared" si="7"/>
        <v>2</v>
      </c>
      <c r="P31" s="17">
        <f t="shared" si="8"/>
        <v>2</v>
      </c>
      <c r="Q31" s="18">
        <f t="shared" si="9"/>
        <v>13.333333333333334</v>
      </c>
      <c r="R31" s="19">
        <v>2400</v>
      </c>
      <c r="S31" s="19">
        <v>2400</v>
      </c>
      <c r="T31" s="19"/>
      <c r="U31" s="16"/>
      <c r="V31" s="16"/>
    </row>
    <row r="32" spans="1:22" s="21" customFormat="1" ht="21">
      <c r="A32" s="30"/>
      <c r="B32" s="14"/>
      <c r="C32" s="15"/>
      <c r="D32" s="16"/>
      <c r="E32" s="17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7"/>
      <c r="Q32" s="16"/>
      <c r="R32" s="16"/>
      <c r="S32" s="16"/>
      <c r="T32" s="16"/>
      <c r="U32" s="16"/>
      <c r="V32" s="16"/>
    </row>
    <row r="33" spans="1:22" s="21" customFormat="1" ht="21">
      <c r="A33" s="13" t="s">
        <v>46</v>
      </c>
      <c r="B33" s="14"/>
      <c r="C33" s="15"/>
      <c r="D33" s="16"/>
      <c r="E33" s="17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7"/>
      <c r="Q33" s="16"/>
      <c r="R33" s="16"/>
      <c r="S33" s="16"/>
      <c r="T33" s="16"/>
      <c r="U33" s="16"/>
      <c r="V33" s="16"/>
    </row>
    <row r="34" spans="1:22" s="21" customFormat="1" ht="21">
      <c r="A34" s="13" t="s">
        <v>47</v>
      </c>
      <c r="B34" s="14">
        <v>82</v>
      </c>
      <c r="C34" s="15"/>
      <c r="D34" s="16"/>
      <c r="E34" s="17"/>
      <c r="F34" s="15"/>
      <c r="G34" s="16"/>
      <c r="H34" s="15">
        <v>20</v>
      </c>
      <c r="I34" s="16">
        <v>25</v>
      </c>
      <c r="J34" s="15">
        <v>4</v>
      </c>
      <c r="K34" s="16">
        <v>5</v>
      </c>
      <c r="L34" s="15">
        <v>2</v>
      </c>
      <c r="M34" s="16">
        <v>1</v>
      </c>
      <c r="N34" s="15"/>
      <c r="O34" s="16"/>
      <c r="P34" s="17"/>
      <c r="Q34" s="16"/>
      <c r="R34" s="19">
        <v>810840</v>
      </c>
      <c r="S34" s="16"/>
      <c r="T34" s="16"/>
      <c r="U34" s="16"/>
      <c r="V34" s="16"/>
    </row>
    <row r="35" spans="1:22" ht="42">
      <c r="A35" s="31" t="s">
        <v>48</v>
      </c>
      <c r="B35" s="32"/>
      <c r="C35" s="15"/>
      <c r="D35" s="33"/>
      <c r="E35" s="17"/>
      <c r="F35" s="15"/>
      <c r="G35" s="33"/>
      <c r="H35" s="15"/>
      <c r="I35" s="33"/>
      <c r="J35" s="15"/>
      <c r="K35" s="33"/>
      <c r="L35" s="15"/>
      <c r="M35" s="33"/>
      <c r="N35" s="15"/>
      <c r="O35" s="27"/>
      <c r="P35" s="17"/>
      <c r="Q35" s="27"/>
      <c r="R35" s="27"/>
      <c r="S35" s="27"/>
      <c r="T35" s="27"/>
      <c r="U35" s="27"/>
      <c r="V35" s="27"/>
    </row>
    <row r="36" spans="1:22" s="21" customFormat="1" ht="21">
      <c r="A36" s="13" t="s">
        <v>49</v>
      </c>
      <c r="B36" s="14"/>
      <c r="C36" s="15"/>
      <c r="D36" s="16"/>
      <c r="E36" s="17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7"/>
      <c r="Q36" s="16"/>
      <c r="R36" s="16"/>
      <c r="S36" s="16"/>
      <c r="T36" s="16"/>
      <c r="U36" s="16"/>
      <c r="V36" s="16"/>
    </row>
    <row r="37" spans="1:22" s="21" customFormat="1" ht="21">
      <c r="A37" s="13" t="s">
        <v>50</v>
      </c>
      <c r="B37" s="14"/>
      <c r="C37" s="15"/>
      <c r="D37" s="16"/>
      <c r="E37" s="17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7"/>
      <c r="Q37" s="16"/>
      <c r="R37" s="16"/>
      <c r="S37" s="16"/>
      <c r="T37" s="16"/>
      <c r="U37" s="16"/>
      <c r="V37" s="16"/>
    </row>
    <row r="38" spans="1:22" s="21" customFormat="1" ht="21">
      <c r="A38" s="13" t="s">
        <v>51</v>
      </c>
      <c r="B38" s="14"/>
      <c r="C38" s="15"/>
      <c r="D38" s="16"/>
      <c r="E38" s="17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7"/>
      <c r="Q38" s="16"/>
      <c r="R38" s="16"/>
      <c r="S38" s="16"/>
      <c r="T38" s="16"/>
      <c r="U38" s="16"/>
      <c r="V38" s="16"/>
    </row>
    <row r="39" spans="1:22" s="21" customFormat="1" ht="21">
      <c r="A39" s="13" t="s">
        <v>52</v>
      </c>
      <c r="B39" s="14"/>
      <c r="C39" s="15"/>
      <c r="D39" s="16"/>
      <c r="E39" s="17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7"/>
      <c r="Q39" s="16"/>
      <c r="R39" s="16"/>
      <c r="S39" s="16"/>
      <c r="T39" s="16"/>
      <c r="U39" s="16"/>
      <c r="V39" s="16"/>
    </row>
    <row r="40" spans="1:22" ht="42">
      <c r="A40" s="31" t="s">
        <v>53</v>
      </c>
      <c r="B40" s="32"/>
      <c r="C40" s="15"/>
      <c r="D40" s="33"/>
      <c r="E40" s="17"/>
      <c r="F40" s="15"/>
      <c r="G40" s="33"/>
      <c r="H40" s="15"/>
      <c r="I40" s="33"/>
      <c r="J40" s="15"/>
      <c r="K40" s="33"/>
      <c r="L40" s="15"/>
      <c r="M40" s="33"/>
      <c r="N40" s="15"/>
      <c r="O40" s="27"/>
      <c r="P40" s="17"/>
      <c r="Q40" s="27"/>
      <c r="R40" s="27"/>
      <c r="S40" s="27"/>
      <c r="T40" s="27"/>
      <c r="U40" s="27"/>
      <c r="V40" s="27"/>
    </row>
    <row r="41" spans="1:22" s="21" customFormat="1" ht="42">
      <c r="A41" s="24" t="s">
        <v>54</v>
      </c>
      <c r="B41" s="14"/>
      <c r="C41" s="15"/>
      <c r="D41" s="16"/>
      <c r="E41" s="17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7"/>
      <c r="Q41" s="16"/>
      <c r="R41" s="16"/>
      <c r="S41" s="16"/>
      <c r="T41" s="16"/>
      <c r="U41" s="16"/>
      <c r="V41" s="16"/>
    </row>
    <row r="42" spans="1:22" s="21" customFormat="1" ht="21">
      <c r="A42" s="13" t="s">
        <v>55</v>
      </c>
      <c r="B42" s="14"/>
      <c r="C42" s="15"/>
      <c r="D42" s="16"/>
      <c r="E42" s="17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7"/>
      <c r="Q42" s="16"/>
      <c r="R42" s="16"/>
      <c r="S42" s="16"/>
      <c r="T42" s="16"/>
      <c r="U42" s="16"/>
      <c r="V42" s="16"/>
    </row>
    <row r="43" spans="1:22" s="21" customFormat="1" ht="21">
      <c r="A43" s="13" t="s">
        <v>56</v>
      </c>
      <c r="B43" s="34"/>
      <c r="C43" s="15"/>
      <c r="D43" s="16"/>
      <c r="E43" s="17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7"/>
      <c r="Q43" s="16"/>
      <c r="R43" s="16"/>
      <c r="S43" s="16"/>
      <c r="T43" s="16"/>
      <c r="U43" s="16"/>
      <c r="V43" s="16"/>
    </row>
    <row r="44" spans="1:22" s="21" customFormat="1" ht="21">
      <c r="A44" s="13" t="s">
        <v>57</v>
      </c>
      <c r="B44" s="14"/>
      <c r="C44" s="15"/>
      <c r="D44" s="16"/>
      <c r="E44" s="17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7"/>
      <c r="Q44" s="16"/>
      <c r="R44" s="16"/>
      <c r="S44" s="16"/>
      <c r="T44" s="16"/>
      <c r="U44" s="16"/>
      <c r="V44" s="16"/>
    </row>
    <row r="45" spans="1:22" s="21" customFormat="1" ht="21">
      <c r="A45" s="24" t="s">
        <v>58</v>
      </c>
      <c r="B45" s="14"/>
      <c r="C45" s="15"/>
      <c r="D45" s="16"/>
      <c r="E45" s="17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7"/>
      <c r="Q45" s="16"/>
      <c r="R45" s="16"/>
      <c r="S45" s="16"/>
      <c r="T45" s="16"/>
      <c r="U45" s="16"/>
      <c r="V45" s="16"/>
    </row>
    <row r="46" spans="1:22" ht="21">
      <c r="A46" s="35" t="s">
        <v>59</v>
      </c>
      <c r="B46" s="32"/>
      <c r="C46" s="15"/>
      <c r="D46" s="33"/>
      <c r="E46" s="17"/>
      <c r="F46" s="15"/>
      <c r="G46" s="33"/>
      <c r="H46" s="15"/>
      <c r="I46" s="33"/>
      <c r="J46" s="15"/>
      <c r="K46" s="33"/>
      <c r="L46" s="15"/>
      <c r="M46" s="33"/>
      <c r="N46" s="15"/>
      <c r="O46" s="27"/>
      <c r="P46" s="17"/>
      <c r="Q46" s="27"/>
      <c r="R46" s="27"/>
      <c r="S46" s="27"/>
      <c r="T46" s="27"/>
      <c r="U46" s="27"/>
      <c r="V46" s="27"/>
    </row>
    <row r="47" spans="1:22" s="21" customFormat="1" ht="21">
      <c r="A47" s="36" t="s">
        <v>60</v>
      </c>
      <c r="B47" s="37">
        <v>12000</v>
      </c>
      <c r="C47" s="15">
        <v>5994</v>
      </c>
      <c r="D47" s="16">
        <v>4761</v>
      </c>
      <c r="E47" s="17">
        <f>(C47+D47)</f>
        <v>10755</v>
      </c>
      <c r="F47" s="15">
        <v>192</v>
      </c>
      <c r="G47" s="16">
        <v>201</v>
      </c>
      <c r="H47" s="15">
        <v>211</v>
      </c>
      <c r="I47" s="16">
        <v>79</v>
      </c>
      <c r="J47" s="15">
        <v>83</v>
      </c>
      <c r="K47" s="16">
        <v>76</v>
      </c>
      <c r="L47" s="15">
        <v>41</v>
      </c>
      <c r="M47" s="16">
        <v>5</v>
      </c>
      <c r="N47" s="15">
        <f>(C47+F47+H47+J47+L47)</f>
        <v>6521</v>
      </c>
      <c r="O47" s="16">
        <f>(D47+G47+I47+K47+M47)</f>
        <v>5122</v>
      </c>
      <c r="P47" s="17">
        <f>(N47+O47)</f>
        <v>11643</v>
      </c>
      <c r="Q47" s="18">
        <f>(P47*100)/B47</f>
        <v>97.025</v>
      </c>
      <c r="R47" s="19">
        <v>40000</v>
      </c>
      <c r="S47" s="16"/>
      <c r="T47" s="16"/>
      <c r="U47" s="16"/>
      <c r="V47" s="16"/>
    </row>
    <row r="48" spans="1:22" s="21" customFormat="1" ht="21">
      <c r="A48" s="36" t="s">
        <v>61</v>
      </c>
      <c r="B48" s="14">
        <v>50</v>
      </c>
      <c r="C48" s="15">
        <v>28</v>
      </c>
      <c r="D48" s="16">
        <v>45</v>
      </c>
      <c r="E48" s="17">
        <f>(C48+D48)</f>
        <v>73</v>
      </c>
      <c r="F48" s="15"/>
      <c r="G48" s="16"/>
      <c r="H48" s="15"/>
      <c r="I48" s="16"/>
      <c r="J48" s="15">
        <v>2</v>
      </c>
      <c r="K48" s="16"/>
      <c r="L48" s="15"/>
      <c r="M48" s="16"/>
      <c r="N48" s="15">
        <f>(C48+F48+H48+J48+L48)</f>
        <v>30</v>
      </c>
      <c r="O48" s="16">
        <f>(D48+G48+I48+K48+M48)</f>
        <v>45</v>
      </c>
      <c r="P48" s="17">
        <f>(N48+O48)</f>
        <v>75</v>
      </c>
      <c r="Q48" s="18">
        <f>(P48*100)/B48</f>
        <v>150</v>
      </c>
      <c r="R48" s="16"/>
      <c r="S48" s="16"/>
      <c r="T48" s="16"/>
      <c r="U48" s="16"/>
      <c r="V48" s="16"/>
    </row>
    <row r="49" spans="1:22" s="21" customFormat="1" ht="21">
      <c r="A49" s="36" t="s">
        <v>62</v>
      </c>
      <c r="B49" s="38"/>
      <c r="C49" s="39">
        <f>SUM(C50:C56)</f>
        <v>1880</v>
      </c>
      <c r="D49" s="39">
        <f>SUM(D50:D56)</f>
        <v>1725</v>
      </c>
      <c r="E49" s="17">
        <f>(C49+D49)</f>
        <v>3605</v>
      </c>
      <c r="F49" s="39">
        <f>SUM(F50:F56)</f>
        <v>145</v>
      </c>
      <c r="G49" s="39">
        <f aca="true" t="shared" si="11" ref="G49:M49">SUM(G50:G56)</f>
        <v>151</v>
      </c>
      <c r="H49" s="39">
        <f t="shared" si="11"/>
        <v>51</v>
      </c>
      <c r="I49" s="39">
        <f t="shared" si="11"/>
        <v>95</v>
      </c>
      <c r="J49" s="39">
        <f t="shared" si="11"/>
        <v>117</v>
      </c>
      <c r="K49" s="39">
        <f t="shared" si="11"/>
        <v>92</v>
      </c>
      <c r="L49" s="39">
        <f t="shared" si="11"/>
        <v>0</v>
      </c>
      <c r="M49" s="39">
        <f t="shared" si="11"/>
        <v>0</v>
      </c>
      <c r="N49" s="15">
        <f aca="true" t="shared" si="12" ref="N49:O73">(C49+F49+H49+J49+L49)</f>
        <v>2193</v>
      </c>
      <c r="O49" s="16">
        <f t="shared" si="12"/>
        <v>2063</v>
      </c>
      <c r="P49" s="17">
        <f aca="true" t="shared" si="13" ref="P49:P73">(N49+O49)</f>
        <v>4256</v>
      </c>
      <c r="Q49" s="16"/>
      <c r="R49" s="16"/>
      <c r="S49" s="16"/>
      <c r="T49" s="16"/>
      <c r="U49" s="16"/>
      <c r="V49" s="16"/>
    </row>
    <row r="50" spans="1:22" s="21" customFormat="1" ht="21">
      <c r="A50" s="16" t="s">
        <v>63</v>
      </c>
      <c r="B50" s="37">
        <v>6000</v>
      </c>
      <c r="C50" s="15">
        <v>1512</v>
      </c>
      <c r="D50" s="16">
        <v>1261</v>
      </c>
      <c r="E50" s="17">
        <f>(C50+D50)</f>
        <v>2773</v>
      </c>
      <c r="F50" s="15"/>
      <c r="G50" s="16"/>
      <c r="H50" s="15">
        <v>51</v>
      </c>
      <c r="I50" s="16">
        <v>79</v>
      </c>
      <c r="J50" s="15">
        <v>115</v>
      </c>
      <c r="K50" s="16">
        <v>92</v>
      </c>
      <c r="L50" s="15"/>
      <c r="M50" s="16"/>
      <c r="N50" s="15">
        <f t="shared" si="12"/>
        <v>1678</v>
      </c>
      <c r="O50" s="16">
        <f t="shared" si="12"/>
        <v>1432</v>
      </c>
      <c r="P50" s="17">
        <f t="shared" si="13"/>
        <v>3110</v>
      </c>
      <c r="Q50" s="18">
        <f aca="true" t="shared" si="14" ref="Q50:Q55">(P50*100)/B50</f>
        <v>51.833333333333336</v>
      </c>
      <c r="R50" s="16"/>
      <c r="S50" s="16"/>
      <c r="T50" s="16"/>
      <c r="U50" s="16"/>
      <c r="V50" s="16"/>
    </row>
    <row r="51" spans="1:22" s="21" customFormat="1" ht="21">
      <c r="A51" s="16" t="s">
        <v>64</v>
      </c>
      <c r="B51" s="37">
        <v>200</v>
      </c>
      <c r="C51" s="15">
        <v>115</v>
      </c>
      <c r="D51" s="16">
        <v>128</v>
      </c>
      <c r="E51" s="17">
        <f>(C51+D51)</f>
        <v>243</v>
      </c>
      <c r="F51" s="15"/>
      <c r="G51" s="16"/>
      <c r="H51" s="15"/>
      <c r="I51" s="16"/>
      <c r="J51" s="15"/>
      <c r="K51" s="16"/>
      <c r="L51" s="15"/>
      <c r="M51" s="16"/>
      <c r="N51" s="15">
        <f t="shared" si="12"/>
        <v>115</v>
      </c>
      <c r="O51" s="16">
        <f t="shared" si="12"/>
        <v>128</v>
      </c>
      <c r="P51" s="17">
        <f t="shared" si="13"/>
        <v>243</v>
      </c>
      <c r="Q51" s="18">
        <f t="shared" si="14"/>
        <v>121.5</v>
      </c>
      <c r="R51" s="16"/>
      <c r="S51" s="16"/>
      <c r="T51" s="16"/>
      <c r="U51" s="16"/>
      <c r="V51" s="16"/>
    </row>
    <row r="52" spans="1:22" s="21" customFormat="1" ht="21">
      <c r="A52" s="16" t="s">
        <v>65</v>
      </c>
      <c r="B52" s="14">
        <v>200</v>
      </c>
      <c r="C52" s="15">
        <v>100</v>
      </c>
      <c r="D52" s="16">
        <v>150</v>
      </c>
      <c r="E52" s="17">
        <f aca="true" t="shared" si="15" ref="E52:E73">(C52+D52)</f>
        <v>250</v>
      </c>
      <c r="F52" s="15"/>
      <c r="G52" s="16"/>
      <c r="H52" s="15"/>
      <c r="I52" s="16"/>
      <c r="J52" s="15"/>
      <c r="K52" s="16"/>
      <c r="L52" s="15"/>
      <c r="M52" s="16"/>
      <c r="N52" s="15">
        <f t="shared" si="12"/>
        <v>100</v>
      </c>
      <c r="O52" s="16">
        <f t="shared" si="12"/>
        <v>150</v>
      </c>
      <c r="P52" s="17">
        <f t="shared" si="13"/>
        <v>250</v>
      </c>
      <c r="Q52" s="18">
        <f t="shared" si="14"/>
        <v>125</v>
      </c>
      <c r="R52" s="16"/>
      <c r="S52" s="16"/>
      <c r="T52" s="16"/>
      <c r="U52" s="16"/>
      <c r="V52" s="16"/>
    </row>
    <row r="53" spans="1:22" s="21" customFormat="1" ht="21">
      <c r="A53" s="16" t="s">
        <v>66</v>
      </c>
      <c r="B53" s="14">
        <v>5</v>
      </c>
      <c r="C53" s="15"/>
      <c r="D53" s="16">
        <v>5</v>
      </c>
      <c r="E53" s="17">
        <f t="shared" si="15"/>
        <v>5</v>
      </c>
      <c r="F53" s="15"/>
      <c r="G53" s="16"/>
      <c r="H53" s="15"/>
      <c r="I53" s="16"/>
      <c r="J53" s="15"/>
      <c r="K53" s="16"/>
      <c r="L53" s="15"/>
      <c r="M53" s="16"/>
      <c r="N53" s="15">
        <f t="shared" si="12"/>
        <v>0</v>
      </c>
      <c r="O53" s="16">
        <f t="shared" si="12"/>
        <v>5</v>
      </c>
      <c r="P53" s="17">
        <f t="shared" si="13"/>
        <v>5</v>
      </c>
      <c r="Q53" s="18">
        <f t="shared" si="14"/>
        <v>100</v>
      </c>
      <c r="R53" s="16"/>
      <c r="S53" s="16"/>
      <c r="T53" s="16"/>
      <c r="U53" s="16"/>
      <c r="V53" s="16"/>
    </row>
    <row r="54" spans="1:22" s="21" customFormat="1" ht="21">
      <c r="A54" s="16" t="s">
        <v>67</v>
      </c>
      <c r="B54" s="14">
        <v>300</v>
      </c>
      <c r="C54" s="15">
        <v>63</v>
      </c>
      <c r="D54" s="16">
        <v>61</v>
      </c>
      <c r="E54" s="17">
        <f t="shared" si="15"/>
        <v>124</v>
      </c>
      <c r="F54" s="15"/>
      <c r="G54" s="16"/>
      <c r="H54" s="15"/>
      <c r="I54" s="16"/>
      <c r="J54" s="15"/>
      <c r="K54" s="16"/>
      <c r="L54" s="15"/>
      <c r="M54" s="16"/>
      <c r="N54" s="15">
        <f t="shared" si="12"/>
        <v>63</v>
      </c>
      <c r="O54" s="16">
        <f t="shared" si="12"/>
        <v>61</v>
      </c>
      <c r="P54" s="17">
        <f t="shared" si="13"/>
        <v>124</v>
      </c>
      <c r="Q54" s="18">
        <f t="shared" si="14"/>
        <v>41.333333333333336</v>
      </c>
      <c r="R54" s="16"/>
      <c r="S54" s="16"/>
      <c r="T54" s="16"/>
      <c r="U54" s="16"/>
      <c r="V54" s="16"/>
    </row>
    <row r="55" spans="1:22" s="21" customFormat="1" ht="21">
      <c r="A55" s="16" t="s">
        <v>68</v>
      </c>
      <c r="B55" s="14">
        <v>150</v>
      </c>
      <c r="C55" s="15">
        <v>90</v>
      </c>
      <c r="D55" s="16">
        <v>120</v>
      </c>
      <c r="E55" s="17">
        <f t="shared" si="15"/>
        <v>210</v>
      </c>
      <c r="F55" s="15"/>
      <c r="G55" s="16"/>
      <c r="H55" s="15"/>
      <c r="I55" s="16"/>
      <c r="J55" s="15"/>
      <c r="K55" s="16"/>
      <c r="L55" s="15"/>
      <c r="M55" s="16"/>
      <c r="N55" s="15">
        <f t="shared" si="12"/>
        <v>90</v>
      </c>
      <c r="O55" s="16">
        <f t="shared" si="12"/>
        <v>120</v>
      </c>
      <c r="P55" s="17">
        <f t="shared" si="13"/>
        <v>210</v>
      </c>
      <c r="Q55" s="18">
        <f t="shared" si="14"/>
        <v>140</v>
      </c>
      <c r="R55" s="16"/>
      <c r="S55" s="16"/>
      <c r="T55" s="16"/>
      <c r="U55" s="16"/>
      <c r="V55" s="16"/>
    </row>
    <row r="56" spans="1:22" s="21" customFormat="1" ht="21">
      <c r="A56" s="16" t="s">
        <v>69</v>
      </c>
      <c r="B56" s="14"/>
      <c r="C56" s="15"/>
      <c r="D56" s="16"/>
      <c r="E56" s="17"/>
      <c r="F56" s="15">
        <v>145</v>
      </c>
      <c r="G56" s="16">
        <v>151</v>
      </c>
      <c r="H56" s="15"/>
      <c r="I56" s="16">
        <v>16</v>
      </c>
      <c r="J56" s="15">
        <v>2</v>
      </c>
      <c r="K56" s="16"/>
      <c r="L56" s="15"/>
      <c r="M56" s="16"/>
      <c r="N56" s="15">
        <f t="shared" si="12"/>
        <v>147</v>
      </c>
      <c r="O56" s="16">
        <f t="shared" si="12"/>
        <v>167</v>
      </c>
      <c r="P56" s="17">
        <f t="shared" si="13"/>
        <v>314</v>
      </c>
      <c r="Q56" s="18"/>
      <c r="R56" s="16"/>
      <c r="S56" s="16"/>
      <c r="T56" s="16"/>
      <c r="U56" s="16"/>
      <c r="V56" s="16"/>
    </row>
    <row r="57" spans="1:22" s="21" customFormat="1" ht="21">
      <c r="A57" s="36" t="s">
        <v>70</v>
      </c>
      <c r="B57" s="14"/>
      <c r="C57" s="15">
        <f>C58+C61+C64</f>
        <v>5402</v>
      </c>
      <c r="D57" s="16">
        <f>D58+D61+D64</f>
        <v>5658</v>
      </c>
      <c r="E57" s="17">
        <f t="shared" si="15"/>
        <v>11060</v>
      </c>
      <c r="F57" s="39">
        <f>(F58+F61+F64)</f>
        <v>163</v>
      </c>
      <c r="G57" s="36">
        <f aca="true" t="shared" si="16" ref="G57:M57">(G58+G61+G64)</f>
        <v>193</v>
      </c>
      <c r="H57" s="39">
        <f t="shared" si="16"/>
        <v>484</v>
      </c>
      <c r="I57" s="36">
        <f t="shared" si="16"/>
        <v>506</v>
      </c>
      <c r="J57" s="39">
        <f t="shared" si="16"/>
        <v>258</v>
      </c>
      <c r="K57" s="36">
        <f t="shared" si="16"/>
        <v>186</v>
      </c>
      <c r="L57" s="39">
        <f t="shared" si="16"/>
        <v>28</v>
      </c>
      <c r="M57" s="36">
        <f t="shared" si="16"/>
        <v>48</v>
      </c>
      <c r="N57" s="15">
        <f t="shared" si="12"/>
        <v>6335</v>
      </c>
      <c r="O57" s="16">
        <f t="shared" si="12"/>
        <v>6591</v>
      </c>
      <c r="P57" s="17">
        <f t="shared" si="13"/>
        <v>12926</v>
      </c>
      <c r="Q57" s="16"/>
      <c r="R57" s="16"/>
      <c r="S57" s="16"/>
      <c r="T57" s="16"/>
      <c r="U57" s="16"/>
      <c r="V57" s="16"/>
    </row>
    <row r="58" spans="1:22" s="21" customFormat="1" ht="21">
      <c r="A58" s="36" t="s">
        <v>71</v>
      </c>
      <c r="B58" s="38"/>
      <c r="C58" s="39">
        <f>C59+C60</f>
        <v>1973</v>
      </c>
      <c r="D58" s="40">
        <f>D59+D60</f>
        <v>2034</v>
      </c>
      <c r="E58" s="17">
        <f t="shared" si="15"/>
        <v>4007</v>
      </c>
      <c r="F58" s="39">
        <f>SUM(F59:F60)</f>
        <v>43</v>
      </c>
      <c r="G58" s="40">
        <f aca="true" t="shared" si="17" ref="G58:M58">SUM(G59:G60)</f>
        <v>51</v>
      </c>
      <c r="H58" s="40">
        <f t="shared" si="17"/>
        <v>249</v>
      </c>
      <c r="I58" s="40">
        <f t="shared" si="17"/>
        <v>258</v>
      </c>
      <c r="J58" s="40">
        <f t="shared" si="17"/>
        <v>54</v>
      </c>
      <c r="K58" s="40">
        <f t="shared" si="17"/>
        <v>52</v>
      </c>
      <c r="L58" s="40">
        <f t="shared" si="17"/>
        <v>1</v>
      </c>
      <c r="M58" s="40">
        <f t="shared" si="17"/>
        <v>2</v>
      </c>
      <c r="N58" s="41">
        <f t="shared" si="12"/>
        <v>2320</v>
      </c>
      <c r="O58" s="41">
        <f t="shared" si="12"/>
        <v>2397</v>
      </c>
      <c r="P58" s="17">
        <f t="shared" si="13"/>
        <v>4717</v>
      </c>
      <c r="Q58" s="16"/>
      <c r="R58" s="19">
        <v>30000</v>
      </c>
      <c r="S58" s="16"/>
      <c r="T58" s="16"/>
      <c r="U58" s="16"/>
      <c r="V58" s="16"/>
    </row>
    <row r="59" spans="1:22" ht="21">
      <c r="A59" s="27" t="s">
        <v>72</v>
      </c>
      <c r="B59" s="26"/>
      <c r="C59" s="15">
        <v>1154</v>
      </c>
      <c r="D59" s="27">
        <v>1181</v>
      </c>
      <c r="E59" s="17">
        <f t="shared" si="15"/>
        <v>2335</v>
      </c>
      <c r="F59" s="15">
        <v>22</v>
      </c>
      <c r="G59" s="27">
        <v>26</v>
      </c>
      <c r="H59" s="15">
        <v>127</v>
      </c>
      <c r="I59" s="27">
        <v>131</v>
      </c>
      <c r="J59" s="15">
        <v>31</v>
      </c>
      <c r="K59" s="27">
        <v>25</v>
      </c>
      <c r="L59" s="15">
        <v>1</v>
      </c>
      <c r="M59" s="27">
        <v>2</v>
      </c>
      <c r="N59" s="15">
        <f t="shared" si="12"/>
        <v>1335</v>
      </c>
      <c r="O59" s="16">
        <f t="shared" si="12"/>
        <v>1365</v>
      </c>
      <c r="P59" s="17">
        <f t="shared" si="13"/>
        <v>2700</v>
      </c>
      <c r="Q59" s="18" t="e">
        <f aca="true" t="shared" si="18" ref="Q59:Q68">(P59*100)/B59</f>
        <v>#DIV/0!</v>
      </c>
      <c r="R59" s="27"/>
      <c r="S59" s="27"/>
      <c r="T59" s="27"/>
      <c r="U59" s="27"/>
      <c r="V59" s="27"/>
    </row>
    <row r="60" spans="1:22" ht="21">
      <c r="A60" s="27" t="s">
        <v>73</v>
      </c>
      <c r="B60" s="26"/>
      <c r="C60" s="15">
        <v>819</v>
      </c>
      <c r="D60" s="27">
        <v>853</v>
      </c>
      <c r="E60" s="17">
        <f t="shared" si="15"/>
        <v>1672</v>
      </c>
      <c r="F60" s="15">
        <v>21</v>
      </c>
      <c r="G60" s="27">
        <v>25</v>
      </c>
      <c r="H60" s="15">
        <v>122</v>
      </c>
      <c r="I60" s="27">
        <v>127</v>
      </c>
      <c r="J60" s="15">
        <v>23</v>
      </c>
      <c r="K60" s="27">
        <v>27</v>
      </c>
      <c r="L60" s="15"/>
      <c r="M60" s="27"/>
      <c r="N60" s="15">
        <f t="shared" si="12"/>
        <v>985</v>
      </c>
      <c r="O60" s="16">
        <f t="shared" si="12"/>
        <v>1032</v>
      </c>
      <c r="P60" s="17">
        <f t="shared" si="13"/>
        <v>2017</v>
      </c>
      <c r="Q60" s="18" t="e">
        <f t="shared" si="18"/>
        <v>#DIV/0!</v>
      </c>
      <c r="R60" s="27"/>
      <c r="S60" s="27"/>
      <c r="T60" s="27"/>
      <c r="U60" s="27"/>
      <c r="V60" s="27"/>
    </row>
    <row r="61" spans="1:22" ht="21">
      <c r="A61" s="36" t="s">
        <v>74</v>
      </c>
      <c r="B61" s="26"/>
      <c r="C61" s="15">
        <f>C62+C63</f>
        <v>1505</v>
      </c>
      <c r="D61" s="41">
        <f>D62+D63</f>
        <v>1634</v>
      </c>
      <c r="E61" s="17">
        <f t="shared" si="15"/>
        <v>3139</v>
      </c>
      <c r="F61" s="39">
        <f>SUM(F62:F63)</f>
        <v>35</v>
      </c>
      <c r="G61" s="40">
        <f aca="true" t="shared" si="19" ref="G61:M61">SUM(G62:G63)</f>
        <v>46</v>
      </c>
      <c r="H61" s="40">
        <f t="shared" si="19"/>
        <v>139</v>
      </c>
      <c r="I61" s="40">
        <f t="shared" si="19"/>
        <v>129</v>
      </c>
      <c r="J61" s="40">
        <f t="shared" si="19"/>
        <v>99</v>
      </c>
      <c r="K61" s="40">
        <f t="shared" si="19"/>
        <v>73</v>
      </c>
      <c r="L61" s="40">
        <f t="shared" si="19"/>
        <v>18</v>
      </c>
      <c r="M61" s="40">
        <f t="shared" si="19"/>
        <v>21</v>
      </c>
      <c r="N61" s="15">
        <f t="shared" si="12"/>
        <v>1796</v>
      </c>
      <c r="O61" s="41">
        <f t="shared" si="12"/>
        <v>1903</v>
      </c>
      <c r="P61" s="17">
        <f t="shared" si="13"/>
        <v>3699</v>
      </c>
      <c r="Q61" s="27"/>
      <c r="R61" s="27"/>
      <c r="S61" s="27"/>
      <c r="T61" s="27"/>
      <c r="U61" s="27"/>
      <c r="V61" s="27"/>
    </row>
    <row r="62" spans="1:22" ht="21">
      <c r="A62" s="27" t="s">
        <v>72</v>
      </c>
      <c r="B62" s="26"/>
      <c r="C62" s="15">
        <v>855</v>
      </c>
      <c r="D62" s="27">
        <v>1000</v>
      </c>
      <c r="E62" s="17">
        <f t="shared" si="15"/>
        <v>1855</v>
      </c>
      <c r="F62" s="15">
        <v>17</v>
      </c>
      <c r="G62" s="27">
        <v>25</v>
      </c>
      <c r="H62" s="15">
        <v>70</v>
      </c>
      <c r="I62" s="27">
        <v>69</v>
      </c>
      <c r="J62" s="15">
        <v>51</v>
      </c>
      <c r="K62" s="27">
        <v>38</v>
      </c>
      <c r="L62" s="15">
        <v>10</v>
      </c>
      <c r="M62" s="27">
        <v>12</v>
      </c>
      <c r="N62" s="15">
        <f t="shared" si="12"/>
        <v>1003</v>
      </c>
      <c r="O62" s="16">
        <f t="shared" si="12"/>
        <v>1144</v>
      </c>
      <c r="P62" s="17">
        <f t="shared" si="13"/>
        <v>2147</v>
      </c>
      <c r="Q62" s="18" t="e">
        <f t="shared" si="18"/>
        <v>#DIV/0!</v>
      </c>
      <c r="R62" s="27"/>
      <c r="S62" s="27"/>
      <c r="T62" s="27"/>
      <c r="U62" s="27"/>
      <c r="V62" s="27"/>
    </row>
    <row r="63" spans="1:22" ht="21">
      <c r="A63" s="27" t="s">
        <v>73</v>
      </c>
      <c r="B63" s="26"/>
      <c r="C63" s="15">
        <v>650</v>
      </c>
      <c r="D63" s="27">
        <v>634</v>
      </c>
      <c r="E63" s="17">
        <f t="shared" si="15"/>
        <v>1284</v>
      </c>
      <c r="F63" s="15">
        <v>18</v>
      </c>
      <c r="G63" s="27">
        <v>21</v>
      </c>
      <c r="H63" s="15">
        <v>69</v>
      </c>
      <c r="I63" s="27">
        <v>60</v>
      </c>
      <c r="J63" s="15">
        <v>48</v>
      </c>
      <c r="K63" s="27">
        <v>35</v>
      </c>
      <c r="L63" s="15">
        <v>8</v>
      </c>
      <c r="M63" s="27">
        <v>9</v>
      </c>
      <c r="N63" s="15">
        <f t="shared" si="12"/>
        <v>793</v>
      </c>
      <c r="O63" s="16">
        <f t="shared" si="12"/>
        <v>759</v>
      </c>
      <c r="P63" s="17">
        <f t="shared" si="13"/>
        <v>1552</v>
      </c>
      <c r="Q63" s="18" t="e">
        <f t="shared" si="18"/>
        <v>#DIV/0!</v>
      </c>
      <c r="R63" s="27"/>
      <c r="S63" s="27"/>
      <c r="T63" s="27"/>
      <c r="U63" s="27"/>
      <c r="V63" s="27"/>
    </row>
    <row r="64" spans="1:22" ht="21">
      <c r="A64" s="36" t="s">
        <v>75</v>
      </c>
      <c r="B64" s="26"/>
      <c r="C64" s="39">
        <f>SUM(C65:C69)</f>
        <v>1924</v>
      </c>
      <c r="D64" s="39">
        <f>SUM(D65:D69)</f>
        <v>1990</v>
      </c>
      <c r="E64" s="17">
        <f t="shared" si="15"/>
        <v>3914</v>
      </c>
      <c r="F64" s="39">
        <f>SUM(F65:F69)</f>
        <v>85</v>
      </c>
      <c r="G64" s="39">
        <f aca="true" t="shared" si="20" ref="G64:M64">SUM(G65:G69)</f>
        <v>96</v>
      </c>
      <c r="H64" s="39">
        <f t="shared" si="20"/>
        <v>96</v>
      </c>
      <c r="I64" s="39">
        <f t="shared" si="20"/>
        <v>119</v>
      </c>
      <c r="J64" s="39">
        <f t="shared" si="20"/>
        <v>105</v>
      </c>
      <c r="K64" s="39">
        <f t="shared" si="20"/>
        <v>61</v>
      </c>
      <c r="L64" s="39">
        <f t="shared" si="20"/>
        <v>9</v>
      </c>
      <c r="M64" s="39">
        <f t="shared" si="20"/>
        <v>25</v>
      </c>
      <c r="N64" s="15">
        <f t="shared" si="12"/>
        <v>2219</v>
      </c>
      <c r="O64" s="41">
        <f t="shared" si="12"/>
        <v>2291</v>
      </c>
      <c r="P64" s="17">
        <f t="shared" si="13"/>
        <v>4510</v>
      </c>
      <c r="Q64" s="27"/>
      <c r="R64" s="27"/>
      <c r="S64" s="27"/>
      <c r="T64" s="27"/>
      <c r="U64" s="27"/>
      <c r="V64" s="27"/>
    </row>
    <row r="65" spans="1:22" ht="21">
      <c r="A65" s="27" t="s">
        <v>72</v>
      </c>
      <c r="B65" s="26"/>
      <c r="C65" s="15">
        <v>994</v>
      </c>
      <c r="D65" s="27">
        <v>1070</v>
      </c>
      <c r="E65" s="17">
        <f t="shared" si="15"/>
        <v>2064</v>
      </c>
      <c r="F65" s="15">
        <v>16</v>
      </c>
      <c r="G65" s="27">
        <v>16</v>
      </c>
      <c r="H65" s="15">
        <v>54</v>
      </c>
      <c r="I65" s="27">
        <v>58</v>
      </c>
      <c r="J65" s="15">
        <v>54</v>
      </c>
      <c r="K65" s="27">
        <v>26</v>
      </c>
      <c r="L65" s="15">
        <v>1</v>
      </c>
      <c r="M65" s="27">
        <v>9</v>
      </c>
      <c r="N65" s="15">
        <f t="shared" si="12"/>
        <v>1119</v>
      </c>
      <c r="O65" s="16">
        <f t="shared" si="12"/>
        <v>1179</v>
      </c>
      <c r="P65" s="17">
        <f t="shared" si="13"/>
        <v>2298</v>
      </c>
      <c r="Q65" s="18" t="e">
        <f t="shared" si="18"/>
        <v>#DIV/0!</v>
      </c>
      <c r="R65" s="27"/>
      <c r="S65" s="27"/>
      <c r="T65" s="27"/>
      <c r="U65" s="27"/>
      <c r="V65" s="27"/>
    </row>
    <row r="66" spans="1:22" ht="21">
      <c r="A66" s="16" t="s">
        <v>76</v>
      </c>
      <c r="B66" s="26"/>
      <c r="C66" s="15">
        <v>225</v>
      </c>
      <c r="D66" s="27">
        <v>269</v>
      </c>
      <c r="E66" s="17">
        <f t="shared" si="15"/>
        <v>494</v>
      </c>
      <c r="F66" s="15"/>
      <c r="G66" s="27"/>
      <c r="H66" s="15"/>
      <c r="I66" s="27"/>
      <c r="J66" s="15"/>
      <c r="K66" s="27"/>
      <c r="L66" s="15"/>
      <c r="M66" s="27"/>
      <c r="N66" s="15">
        <f t="shared" si="12"/>
        <v>225</v>
      </c>
      <c r="O66" s="16">
        <f t="shared" si="12"/>
        <v>269</v>
      </c>
      <c r="P66" s="17">
        <f t="shared" si="13"/>
        <v>494</v>
      </c>
      <c r="Q66" s="18"/>
      <c r="R66" s="27"/>
      <c r="S66" s="27"/>
      <c r="T66" s="27"/>
      <c r="U66" s="27"/>
      <c r="V66" s="27"/>
    </row>
    <row r="67" spans="1:22" ht="21">
      <c r="A67" s="27" t="s">
        <v>77</v>
      </c>
      <c r="B67" s="26"/>
      <c r="C67" s="15">
        <v>649</v>
      </c>
      <c r="D67" s="27">
        <v>579</v>
      </c>
      <c r="E67" s="17">
        <f t="shared" si="15"/>
        <v>1228</v>
      </c>
      <c r="F67" s="15">
        <v>9</v>
      </c>
      <c r="G67" s="27">
        <v>14</v>
      </c>
      <c r="H67" s="15">
        <v>42</v>
      </c>
      <c r="I67" s="27">
        <v>54</v>
      </c>
      <c r="J67" s="15">
        <v>51</v>
      </c>
      <c r="K67" s="27">
        <v>35</v>
      </c>
      <c r="L67" s="15">
        <v>8</v>
      </c>
      <c r="M67" s="27">
        <v>16</v>
      </c>
      <c r="N67" s="15">
        <f t="shared" si="12"/>
        <v>759</v>
      </c>
      <c r="O67" s="16">
        <f t="shared" si="12"/>
        <v>698</v>
      </c>
      <c r="P67" s="17">
        <f t="shared" si="13"/>
        <v>1457</v>
      </c>
      <c r="Q67" s="18" t="e">
        <f t="shared" si="18"/>
        <v>#DIV/0!</v>
      </c>
      <c r="R67" s="27"/>
      <c r="S67" s="27"/>
      <c r="T67" s="27"/>
      <c r="U67" s="27"/>
      <c r="V67" s="27"/>
    </row>
    <row r="68" spans="1:22" ht="21">
      <c r="A68" s="27" t="s">
        <v>78</v>
      </c>
      <c r="B68" s="26">
        <v>100</v>
      </c>
      <c r="C68" s="15">
        <v>56</v>
      </c>
      <c r="D68" s="27">
        <v>72</v>
      </c>
      <c r="E68" s="17">
        <f t="shared" si="15"/>
        <v>128</v>
      </c>
      <c r="F68" s="15"/>
      <c r="G68" s="27"/>
      <c r="H68" s="15"/>
      <c r="I68" s="27"/>
      <c r="J68" s="15"/>
      <c r="K68" s="27"/>
      <c r="L68" s="15"/>
      <c r="M68" s="27"/>
      <c r="N68" s="15">
        <f t="shared" si="12"/>
        <v>56</v>
      </c>
      <c r="O68" s="16">
        <f t="shared" si="12"/>
        <v>72</v>
      </c>
      <c r="P68" s="17">
        <f t="shared" si="13"/>
        <v>128</v>
      </c>
      <c r="Q68" s="18">
        <f t="shared" si="18"/>
        <v>128</v>
      </c>
      <c r="R68" s="27"/>
      <c r="S68" s="27"/>
      <c r="T68" s="27"/>
      <c r="U68" s="27"/>
      <c r="V68" s="27"/>
    </row>
    <row r="69" spans="1:22" ht="21">
      <c r="A69" s="27" t="s">
        <v>79</v>
      </c>
      <c r="B69" s="26"/>
      <c r="C69" s="15"/>
      <c r="D69" s="27"/>
      <c r="E69" s="17"/>
      <c r="F69" s="15">
        <v>60</v>
      </c>
      <c r="G69" s="27">
        <v>66</v>
      </c>
      <c r="H69" s="15"/>
      <c r="I69" s="27">
        <v>7</v>
      </c>
      <c r="J69" s="15"/>
      <c r="K69" s="27"/>
      <c r="L69" s="15"/>
      <c r="M69" s="27"/>
      <c r="N69" s="15">
        <f t="shared" si="12"/>
        <v>60</v>
      </c>
      <c r="O69" s="16">
        <f t="shared" si="12"/>
        <v>73</v>
      </c>
      <c r="P69" s="17">
        <f t="shared" si="13"/>
        <v>133</v>
      </c>
      <c r="Q69" s="18"/>
      <c r="R69" s="27"/>
      <c r="S69" s="27"/>
      <c r="T69" s="27"/>
      <c r="U69" s="27"/>
      <c r="V69" s="27"/>
    </row>
    <row r="70" spans="1:22" ht="21">
      <c r="A70" s="42" t="s">
        <v>80</v>
      </c>
      <c r="B70" s="43">
        <f>SUM(B71:B73)</f>
        <v>39600</v>
      </c>
      <c r="C70" s="44">
        <f aca="true" t="shared" si="21" ref="C70:M70">SUM(C71:C73)</f>
        <v>13571</v>
      </c>
      <c r="D70" s="43">
        <f t="shared" si="21"/>
        <v>13990</v>
      </c>
      <c r="E70" s="45">
        <f t="shared" si="21"/>
        <v>27561</v>
      </c>
      <c r="F70" s="44">
        <f t="shared" si="21"/>
        <v>278</v>
      </c>
      <c r="G70" s="43">
        <f t="shared" si="21"/>
        <v>256</v>
      </c>
      <c r="H70" s="44">
        <f t="shared" si="21"/>
        <v>976</v>
      </c>
      <c r="I70" s="43">
        <f t="shared" si="21"/>
        <v>907</v>
      </c>
      <c r="J70" s="44">
        <f t="shared" si="21"/>
        <v>971</v>
      </c>
      <c r="K70" s="43">
        <f t="shared" si="21"/>
        <v>901</v>
      </c>
      <c r="L70" s="44">
        <f t="shared" si="21"/>
        <v>478</v>
      </c>
      <c r="M70" s="43">
        <f t="shared" si="21"/>
        <v>259</v>
      </c>
      <c r="N70" s="15">
        <f t="shared" si="12"/>
        <v>16274</v>
      </c>
      <c r="O70" s="16">
        <f t="shared" si="12"/>
        <v>16313</v>
      </c>
      <c r="P70" s="17">
        <f t="shared" si="13"/>
        <v>32587</v>
      </c>
      <c r="Q70" s="18">
        <f>(P70*100)/B70</f>
        <v>82.29040404040404</v>
      </c>
      <c r="R70" s="46">
        <v>111980</v>
      </c>
      <c r="S70" s="27"/>
      <c r="T70" s="27"/>
      <c r="U70" s="27"/>
      <c r="V70" s="27"/>
    </row>
    <row r="71" spans="1:22" ht="21">
      <c r="A71" s="27" t="s">
        <v>81</v>
      </c>
      <c r="B71" s="47">
        <v>7200</v>
      </c>
      <c r="C71" s="15">
        <v>2130</v>
      </c>
      <c r="D71" s="27">
        <v>2255</v>
      </c>
      <c r="E71" s="17">
        <f t="shared" si="15"/>
        <v>4385</v>
      </c>
      <c r="F71" s="15">
        <v>42</v>
      </c>
      <c r="G71" s="27">
        <v>31</v>
      </c>
      <c r="H71" s="15">
        <v>229</v>
      </c>
      <c r="I71" s="27">
        <v>253</v>
      </c>
      <c r="J71" s="15">
        <v>125</v>
      </c>
      <c r="K71" s="27">
        <v>137</v>
      </c>
      <c r="L71" s="15">
        <v>5</v>
      </c>
      <c r="M71" s="27">
        <v>13</v>
      </c>
      <c r="N71" s="15">
        <f t="shared" si="12"/>
        <v>2531</v>
      </c>
      <c r="O71" s="16">
        <f t="shared" si="12"/>
        <v>2689</v>
      </c>
      <c r="P71" s="17">
        <f t="shared" si="13"/>
        <v>5220</v>
      </c>
      <c r="Q71" s="18">
        <f>(P71*100)/B71</f>
        <v>72.5</v>
      </c>
      <c r="R71" s="27"/>
      <c r="S71" s="27"/>
      <c r="T71" s="27"/>
      <c r="U71" s="27"/>
      <c r="V71" s="27"/>
    </row>
    <row r="72" spans="1:22" ht="21">
      <c r="A72" s="27" t="s">
        <v>82</v>
      </c>
      <c r="B72" s="47">
        <v>14400</v>
      </c>
      <c r="C72" s="15">
        <v>3185</v>
      </c>
      <c r="D72" s="27">
        <v>2150</v>
      </c>
      <c r="E72" s="17">
        <f t="shared" si="15"/>
        <v>5335</v>
      </c>
      <c r="F72" s="15">
        <v>25</v>
      </c>
      <c r="G72" s="27">
        <v>27</v>
      </c>
      <c r="H72" s="15">
        <v>291</v>
      </c>
      <c r="I72" s="27">
        <v>182</v>
      </c>
      <c r="J72" s="15">
        <v>261</v>
      </c>
      <c r="K72" s="27">
        <v>178</v>
      </c>
      <c r="L72" s="15">
        <v>60</v>
      </c>
      <c r="M72" s="27">
        <v>45</v>
      </c>
      <c r="N72" s="15">
        <f t="shared" si="12"/>
        <v>3822</v>
      </c>
      <c r="O72" s="16">
        <f t="shared" si="12"/>
        <v>2582</v>
      </c>
      <c r="P72" s="17">
        <f t="shared" si="13"/>
        <v>6404</v>
      </c>
      <c r="Q72" s="18">
        <f>(P72*100)/B72</f>
        <v>44.47222222222222</v>
      </c>
      <c r="R72" s="27"/>
      <c r="S72" s="27"/>
      <c r="T72" s="27"/>
      <c r="U72" s="27"/>
      <c r="V72" s="27"/>
    </row>
    <row r="73" spans="1:22" ht="21">
      <c r="A73" s="27" t="s">
        <v>83</v>
      </c>
      <c r="B73" s="47">
        <v>18000</v>
      </c>
      <c r="C73" s="15">
        <v>8256</v>
      </c>
      <c r="D73" s="27">
        <v>9585</v>
      </c>
      <c r="E73" s="17">
        <f t="shared" si="15"/>
        <v>17841</v>
      </c>
      <c r="F73" s="15">
        <v>211</v>
      </c>
      <c r="G73" s="27">
        <v>198</v>
      </c>
      <c r="H73" s="15">
        <v>456</v>
      </c>
      <c r="I73" s="27">
        <v>472</v>
      </c>
      <c r="J73" s="15">
        <v>585</v>
      </c>
      <c r="K73" s="27">
        <v>586</v>
      </c>
      <c r="L73" s="15">
        <v>413</v>
      </c>
      <c r="M73" s="27">
        <v>201</v>
      </c>
      <c r="N73" s="15">
        <f t="shared" si="12"/>
        <v>9921</v>
      </c>
      <c r="O73" s="16">
        <f t="shared" si="12"/>
        <v>11042</v>
      </c>
      <c r="P73" s="17">
        <f t="shared" si="13"/>
        <v>20963</v>
      </c>
      <c r="Q73" s="18">
        <f>(P73*100)/B73</f>
        <v>116.46111111111111</v>
      </c>
      <c r="R73" s="27"/>
      <c r="S73" s="27"/>
      <c r="T73" s="27"/>
      <c r="U73" s="27"/>
      <c r="V73" s="27"/>
    </row>
    <row r="74" spans="1:22" ht="21">
      <c r="A74" s="48" t="s">
        <v>84</v>
      </c>
      <c r="B74" s="32"/>
      <c r="C74" s="15"/>
      <c r="D74" s="33"/>
      <c r="E74" s="17"/>
      <c r="F74" s="15"/>
      <c r="G74" s="33"/>
      <c r="H74" s="15"/>
      <c r="I74" s="33"/>
      <c r="J74" s="15"/>
      <c r="K74" s="33"/>
      <c r="L74" s="15"/>
      <c r="M74" s="33"/>
      <c r="N74" s="15"/>
      <c r="O74" s="27"/>
      <c r="P74" s="17"/>
      <c r="Q74" s="27"/>
      <c r="R74" s="27"/>
      <c r="S74" s="27"/>
      <c r="T74" s="27"/>
      <c r="U74" s="27"/>
      <c r="V74" s="27"/>
    </row>
    <row r="75" spans="1:22" s="21" customFormat="1" ht="21">
      <c r="A75" s="36" t="s">
        <v>85</v>
      </c>
      <c r="B75" s="14"/>
      <c r="C75" s="15"/>
      <c r="D75" s="16"/>
      <c r="E75" s="17"/>
      <c r="F75" s="15"/>
      <c r="G75" s="16"/>
      <c r="H75" s="15"/>
      <c r="I75" s="16"/>
      <c r="J75" s="15"/>
      <c r="K75" s="16"/>
      <c r="L75" s="15"/>
      <c r="M75" s="16"/>
      <c r="N75" s="15"/>
      <c r="O75" s="16"/>
      <c r="P75" s="17"/>
      <c r="Q75" s="16"/>
      <c r="R75" s="16"/>
      <c r="S75" s="16"/>
      <c r="T75" s="16"/>
      <c r="U75" s="16"/>
      <c r="V75" s="16"/>
    </row>
    <row r="76" spans="1:22" s="21" customFormat="1" ht="21">
      <c r="A76" s="36" t="s">
        <v>86</v>
      </c>
      <c r="B76" s="14"/>
      <c r="C76" s="15"/>
      <c r="D76" s="16"/>
      <c r="E76" s="17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7"/>
      <c r="Q76" s="16"/>
      <c r="R76" s="19">
        <v>154690</v>
      </c>
      <c r="S76" s="19">
        <v>154666</v>
      </c>
      <c r="T76" s="19"/>
      <c r="U76" s="19">
        <f>(S76+T76)</f>
        <v>154666</v>
      </c>
      <c r="V76" s="20">
        <f>(U76*100)/R76</f>
        <v>99.98448509923072</v>
      </c>
    </row>
    <row r="77" spans="1:22" s="21" customFormat="1" ht="21">
      <c r="A77" s="36" t="s">
        <v>87</v>
      </c>
      <c r="B77" s="14"/>
      <c r="C77" s="15"/>
      <c r="D77" s="16"/>
      <c r="E77" s="17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7"/>
      <c r="Q77" s="16"/>
      <c r="R77" s="19">
        <v>74534</v>
      </c>
      <c r="S77" s="19">
        <f>SUM(S78:S81)</f>
        <v>74534</v>
      </c>
      <c r="T77" s="19"/>
      <c r="U77" s="19">
        <f>(S77+T77)</f>
        <v>74534</v>
      </c>
      <c r="V77" s="20">
        <f>(U77*100)/R77</f>
        <v>100</v>
      </c>
    </row>
    <row r="78" spans="1:22" ht="21">
      <c r="A78" s="25" t="s">
        <v>88</v>
      </c>
      <c r="B78" s="26">
        <v>50</v>
      </c>
      <c r="C78" s="15">
        <v>25</v>
      </c>
      <c r="D78" s="27">
        <v>25</v>
      </c>
      <c r="E78" s="17">
        <f>(C78+D78)</f>
        <v>50</v>
      </c>
      <c r="F78" s="15"/>
      <c r="G78" s="27"/>
      <c r="H78" s="15"/>
      <c r="I78" s="27"/>
      <c r="J78" s="15"/>
      <c r="K78" s="27"/>
      <c r="L78" s="15"/>
      <c r="M78" s="27"/>
      <c r="N78" s="15">
        <f aca="true" t="shared" si="22" ref="N78:O81">(C78+F78+H78+J78+L78)</f>
        <v>25</v>
      </c>
      <c r="O78" s="16">
        <f t="shared" si="22"/>
        <v>25</v>
      </c>
      <c r="P78" s="17">
        <f>(N78+O78)</f>
        <v>50</v>
      </c>
      <c r="Q78" s="18">
        <f>(P78*100)/B78</f>
        <v>100</v>
      </c>
      <c r="R78" s="46">
        <v>37440</v>
      </c>
      <c r="S78" s="46">
        <v>37440</v>
      </c>
      <c r="T78" s="46"/>
      <c r="U78" s="27"/>
      <c r="V78" s="27"/>
    </row>
    <row r="79" spans="1:22" ht="21">
      <c r="A79" s="25" t="s">
        <v>89</v>
      </c>
      <c r="B79" s="26">
        <v>50</v>
      </c>
      <c r="C79" s="15">
        <v>24</v>
      </c>
      <c r="D79" s="27">
        <v>26</v>
      </c>
      <c r="E79" s="17">
        <f>(C79+D79)</f>
        <v>50</v>
      </c>
      <c r="F79" s="15"/>
      <c r="G79" s="27"/>
      <c r="H79" s="15"/>
      <c r="I79" s="27"/>
      <c r="J79" s="15"/>
      <c r="K79" s="27"/>
      <c r="L79" s="15"/>
      <c r="M79" s="27"/>
      <c r="N79" s="15">
        <f t="shared" si="22"/>
        <v>24</v>
      </c>
      <c r="O79" s="16">
        <f t="shared" si="22"/>
        <v>26</v>
      </c>
      <c r="P79" s="17">
        <f>(N79+O79)</f>
        <v>50</v>
      </c>
      <c r="Q79" s="18">
        <f>(P79*100)/B79</f>
        <v>100</v>
      </c>
      <c r="R79" s="27"/>
      <c r="S79" s="27"/>
      <c r="T79" s="27"/>
      <c r="U79" s="27"/>
      <c r="V79" s="27"/>
    </row>
    <row r="80" spans="1:22" ht="21">
      <c r="A80" s="25" t="s">
        <v>90</v>
      </c>
      <c r="B80" s="26">
        <v>40</v>
      </c>
      <c r="C80" s="15">
        <v>17</v>
      </c>
      <c r="D80" s="27">
        <v>17</v>
      </c>
      <c r="E80" s="17">
        <f>(C80+D80)</f>
        <v>34</v>
      </c>
      <c r="F80" s="15"/>
      <c r="G80" s="27"/>
      <c r="H80" s="15"/>
      <c r="I80" s="27"/>
      <c r="J80" s="15"/>
      <c r="K80" s="27"/>
      <c r="L80" s="15"/>
      <c r="M80" s="27"/>
      <c r="N80" s="15">
        <f t="shared" si="22"/>
        <v>17</v>
      </c>
      <c r="O80" s="16">
        <f t="shared" si="22"/>
        <v>17</v>
      </c>
      <c r="P80" s="17">
        <f>(N80+O80)</f>
        <v>34</v>
      </c>
      <c r="Q80" s="18">
        <f>(P80*100)/B80</f>
        <v>85</v>
      </c>
      <c r="R80" s="27"/>
      <c r="S80" s="27"/>
      <c r="T80" s="27"/>
      <c r="U80" s="27"/>
      <c r="V80" s="27"/>
    </row>
    <row r="81" spans="1:22" ht="21">
      <c r="A81" s="25" t="s">
        <v>91</v>
      </c>
      <c r="B81" s="26">
        <v>50</v>
      </c>
      <c r="C81" s="15">
        <v>33</v>
      </c>
      <c r="D81" s="27">
        <v>17</v>
      </c>
      <c r="E81" s="17">
        <f>(C81+D81)</f>
        <v>50</v>
      </c>
      <c r="F81" s="15"/>
      <c r="G81" s="27"/>
      <c r="H81" s="15"/>
      <c r="I81" s="27"/>
      <c r="J81" s="15"/>
      <c r="K81" s="27"/>
      <c r="L81" s="15"/>
      <c r="M81" s="27"/>
      <c r="N81" s="15">
        <f t="shared" si="22"/>
        <v>33</v>
      </c>
      <c r="O81" s="16">
        <f t="shared" si="22"/>
        <v>17</v>
      </c>
      <c r="P81" s="17">
        <f>(N81+O81)</f>
        <v>50</v>
      </c>
      <c r="Q81" s="18">
        <f>(P81*100)/B81</f>
        <v>100</v>
      </c>
      <c r="R81" s="27"/>
      <c r="S81" s="46">
        <v>37094</v>
      </c>
      <c r="T81" s="46"/>
      <c r="U81" s="27"/>
      <c r="V81" s="27"/>
    </row>
    <row r="82" spans="1:22" s="21" customFormat="1" ht="21">
      <c r="A82" s="36" t="s">
        <v>92</v>
      </c>
      <c r="B82" s="14"/>
      <c r="C82" s="15"/>
      <c r="D82" s="16"/>
      <c r="E82" s="17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7"/>
      <c r="Q82" s="16"/>
      <c r="R82" s="16"/>
      <c r="S82" s="16"/>
      <c r="T82" s="16"/>
      <c r="U82" s="16"/>
      <c r="V82" s="16"/>
    </row>
    <row r="83" spans="1:22" s="21" customFormat="1" ht="21">
      <c r="A83" s="16" t="s">
        <v>93</v>
      </c>
      <c r="B83" s="14"/>
      <c r="C83" s="15"/>
      <c r="D83" s="16"/>
      <c r="E83" s="17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7"/>
      <c r="Q83" s="16"/>
      <c r="R83" s="16"/>
      <c r="S83" s="16"/>
      <c r="T83" s="16"/>
      <c r="U83" s="16"/>
      <c r="V83" s="16"/>
    </row>
    <row r="84" spans="1:22" s="21" customFormat="1" ht="21">
      <c r="A84" s="16" t="s">
        <v>94</v>
      </c>
      <c r="B84" s="14"/>
      <c r="C84" s="15"/>
      <c r="D84" s="16"/>
      <c r="E84" s="17"/>
      <c r="F84" s="15"/>
      <c r="G84" s="16"/>
      <c r="H84" s="15"/>
      <c r="I84" s="16"/>
      <c r="J84" s="15"/>
      <c r="K84" s="16"/>
      <c r="L84" s="15"/>
      <c r="M84" s="16"/>
      <c r="N84" s="15"/>
      <c r="O84" s="16"/>
      <c r="P84" s="17"/>
      <c r="Q84" s="16"/>
      <c r="R84" s="16"/>
      <c r="S84" s="16"/>
      <c r="T84" s="16"/>
      <c r="U84" s="16"/>
      <c r="V84" s="16"/>
    </row>
    <row r="85" spans="1:22" s="21" customFormat="1" ht="21">
      <c r="A85" s="16" t="s">
        <v>95</v>
      </c>
      <c r="B85" s="14"/>
      <c r="C85" s="15"/>
      <c r="D85" s="16"/>
      <c r="E85" s="17"/>
      <c r="F85" s="15"/>
      <c r="G85" s="16"/>
      <c r="H85" s="15"/>
      <c r="I85" s="16"/>
      <c r="J85" s="15"/>
      <c r="K85" s="16"/>
      <c r="L85" s="15"/>
      <c r="M85" s="16"/>
      <c r="N85" s="15"/>
      <c r="O85" s="16"/>
      <c r="P85" s="17"/>
      <c r="Q85" s="16"/>
      <c r="R85" s="16"/>
      <c r="S85" s="16"/>
      <c r="T85" s="16"/>
      <c r="U85" s="16"/>
      <c r="V85" s="16"/>
    </row>
    <row r="86" spans="1:22" s="21" customFormat="1" ht="21">
      <c r="A86" s="36" t="s">
        <v>96</v>
      </c>
      <c r="B86" s="14"/>
      <c r="C86" s="15"/>
      <c r="D86" s="16"/>
      <c r="E86" s="17"/>
      <c r="F86" s="15"/>
      <c r="G86" s="16"/>
      <c r="H86" s="15"/>
      <c r="I86" s="16"/>
      <c r="J86" s="15"/>
      <c r="K86" s="16"/>
      <c r="L86" s="15"/>
      <c r="M86" s="16"/>
      <c r="N86" s="15"/>
      <c r="O86" s="16"/>
      <c r="P86" s="17"/>
      <c r="Q86" s="16"/>
      <c r="R86" s="16"/>
      <c r="S86" s="16"/>
      <c r="T86" s="16"/>
      <c r="U86" s="16"/>
      <c r="V86" s="16"/>
    </row>
    <row r="87" spans="1:22" s="21" customFormat="1" ht="21">
      <c r="A87" s="16" t="s">
        <v>93</v>
      </c>
      <c r="B87" s="14"/>
      <c r="C87" s="15"/>
      <c r="D87" s="16"/>
      <c r="E87" s="17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7"/>
      <c r="Q87" s="16"/>
      <c r="R87" s="16"/>
      <c r="S87" s="16"/>
      <c r="T87" s="16"/>
      <c r="U87" s="16"/>
      <c r="V87" s="16"/>
    </row>
    <row r="88" spans="1:22" s="21" customFormat="1" ht="21">
      <c r="A88" s="16" t="s">
        <v>94</v>
      </c>
      <c r="B88" s="14"/>
      <c r="C88" s="15"/>
      <c r="D88" s="16"/>
      <c r="E88" s="17"/>
      <c r="F88" s="15"/>
      <c r="G88" s="16"/>
      <c r="H88" s="15"/>
      <c r="I88" s="16"/>
      <c r="J88" s="15"/>
      <c r="K88" s="16"/>
      <c r="L88" s="15"/>
      <c r="M88" s="16"/>
      <c r="N88" s="15"/>
      <c r="O88" s="16"/>
      <c r="P88" s="17"/>
      <c r="Q88" s="16"/>
      <c r="R88" s="16"/>
      <c r="S88" s="16"/>
      <c r="T88" s="16"/>
      <c r="U88" s="16"/>
      <c r="V88" s="16"/>
    </row>
    <row r="89" spans="1:22" s="21" customFormat="1" ht="21">
      <c r="A89" s="16" t="s">
        <v>95</v>
      </c>
      <c r="B89" s="14"/>
      <c r="C89" s="15"/>
      <c r="D89" s="16"/>
      <c r="E89" s="17"/>
      <c r="F89" s="15"/>
      <c r="G89" s="16"/>
      <c r="H89" s="15"/>
      <c r="I89" s="16"/>
      <c r="J89" s="15"/>
      <c r="K89" s="16"/>
      <c r="L89" s="15"/>
      <c r="M89" s="16"/>
      <c r="N89" s="15"/>
      <c r="O89" s="16"/>
      <c r="P89" s="17"/>
      <c r="Q89" s="16"/>
      <c r="R89" s="16"/>
      <c r="S89" s="16"/>
      <c r="T89" s="16"/>
      <c r="U89" s="16"/>
      <c r="V89" s="16"/>
    </row>
  </sheetData>
  <sheetProtection/>
  <mergeCells count="19">
    <mergeCell ref="B7:V7"/>
    <mergeCell ref="S4:S6"/>
    <mergeCell ref="T4:T6"/>
    <mergeCell ref="U4:U6"/>
    <mergeCell ref="V4:V6"/>
    <mergeCell ref="F5:G5"/>
    <mergeCell ref="H5:I5"/>
    <mergeCell ref="J5:K5"/>
    <mergeCell ref="L5:M5"/>
    <mergeCell ref="A1:V1"/>
    <mergeCell ref="A2:V2"/>
    <mergeCell ref="A3:V3"/>
    <mergeCell ref="A4:A6"/>
    <mergeCell ref="B4:B6"/>
    <mergeCell ref="C4:E5"/>
    <mergeCell ref="F4:M4"/>
    <mergeCell ref="N4:P5"/>
    <mergeCell ref="Q4:Q6"/>
    <mergeCell ref="R4:R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B1">
      <selection activeCell="F4" sqref="F4:M4"/>
    </sheetView>
  </sheetViews>
  <sheetFormatPr defaultColWidth="6.8515625" defaultRowHeight="15"/>
  <cols>
    <col min="1" max="1" width="40.140625" style="1" customWidth="1"/>
    <col min="2" max="2" width="10.421875" style="3" customWidth="1"/>
    <col min="3" max="3" width="8.57421875" style="1" customWidth="1"/>
    <col min="4" max="4" width="9.00390625" style="1" customWidth="1"/>
    <col min="5" max="5" width="12.140625" style="1" customWidth="1"/>
    <col min="6" max="8" width="6.8515625" style="1" customWidth="1"/>
    <col min="9" max="9" width="7.7109375" style="1" customWidth="1"/>
    <col min="10" max="10" width="7.28125" style="1" customWidth="1"/>
    <col min="11" max="11" width="7.140625" style="1" customWidth="1"/>
    <col min="12" max="12" width="6.8515625" style="1" customWidth="1"/>
    <col min="13" max="13" width="7.57421875" style="1" customWidth="1"/>
    <col min="14" max="14" width="8.421875" style="1" customWidth="1"/>
    <col min="15" max="15" width="8.140625" style="1" customWidth="1"/>
    <col min="16" max="16" width="9.8515625" style="1" customWidth="1"/>
    <col min="17" max="17" width="10.421875" style="1" customWidth="1"/>
    <col min="18" max="18" width="11.421875" style="117" customWidth="1"/>
    <col min="19" max="19" width="13.8515625" style="50" customWidth="1"/>
    <col min="20" max="20" width="12.421875" style="118" customWidth="1"/>
    <col min="21" max="21" width="13.8515625" style="118" customWidth="1"/>
    <col min="22" max="22" width="10.421875" style="1" customWidth="1"/>
    <col min="23" max="23" width="6.8515625" style="1" customWidth="1"/>
    <col min="24" max="24" width="8.140625" style="1" customWidth="1"/>
    <col min="25" max="25" width="9.00390625" style="49" customWidth="1"/>
    <col min="26" max="26" width="6.8515625" style="1" customWidth="1"/>
    <col min="27" max="27" width="14.7109375" style="50" customWidth="1"/>
    <col min="28" max="28" width="13.57421875" style="50" customWidth="1"/>
    <col min="29" max="16384" width="6.8515625" style="1" customWidth="1"/>
  </cols>
  <sheetData>
    <row r="1" spans="1:22" ht="23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>
      <c r="A2" s="119" t="s">
        <v>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1" ht="23.25">
      <c r="A3" s="120" t="s">
        <v>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8" s="3" customFormat="1" ht="132.75" customHeight="1">
      <c r="A4" s="121" t="s">
        <v>3</v>
      </c>
      <c r="B4" s="123" t="s">
        <v>4</v>
      </c>
      <c r="C4" s="126" t="s">
        <v>5</v>
      </c>
      <c r="D4" s="128"/>
      <c r="E4" s="123" t="s">
        <v>99</v>
      </c>
      <c r="F4" s="126" t="s">
        <v>100</v>
      </c>
      <c r="G4" s="127"/>
      <c r="H4" s="127"/>
      <c r="I4" s="127"/>
      <c r="J4" s="127"/>
      <c r="K4" s="127"/>
      <c r="L4" s="127"/>
      <c r="M4" s="128"/>
      <c r="N4" s="126" t="s">
        <v>7</v>
      </c>
      <c r="O4" s="128"/>
      <c r="P4" s="123" t="s">
        <v>101</v>
      </c>
      <c r="Q4" s="123" t="s">
        <v>8</v>
      </c>
      <c r="R4" s="142" t="s">
        <v>9</v>
      </c>
      <c r="S4" s="145" t="s">
        <v>10</v>
      </c>
      <c r="T4" s="142" t="s">
        <v>11</v>
      </c>
      <c r="U4" s="142" t="s">
        <v>12</v>
      </c>
      <c r="V4" s="123" t="s">
        <v>13</v>
      </c>
      <c r="W4" s="2"/>
      <c r="X4" s="2"/>
      <c r="Y4" s="51"/>
      <c r="AA4" s="52"/>
      <c r="AB4" s="52"/>
    </row>
    <row r="5" spans="1:28" s="3" customFormat="1" ht="28.5" customHeight="1">
      <c r="A5" s="122"/>
      <c r="B5" s="124"/>
      <c r="C5" s="129"/>
      <c r="D5" s="131"/>
      <c r="E5" s="125"/>
      <c r="F5" s="138" t="s">
        <v>14</v>
      </c>
      <c r="G5" s="138"/>
      <c r="H5" s="138" t="s">
        <v>15</v>
      </c>
      <c r="I5" s="138"/>
      <c r="J5" s="138" t="s">
        <v>16</v>
      </c>
      <c r="K5" s="138"/>
      <c r="L5" s="138" t="s">
        <v>17</v>
      </c>
      <c r="M5" s="138"/>
      <c r="N5" s="129"/>
      <c r="O5" s="131"/>
      <c r="P5" s="125"/>
      <c r="Q5" s="124"/>
      <c r="R5" s="143"/>
      <c r="S5" s="146"/>
      <c r="T5" s="143"/>
      <c r="U5" s="143"/>
      <c r="V5" s="124"/>
      <c r="W5" s="2"/>
      <c r="X5" s="2"/>
      <c r="Y5" s="51"/>
      <c r="AA5" s="52"/>
      <c r="AB5" s="52"/>
    </row>
    <row r="6" spans="1:28" s="3" customFormat="1" ht="24" customHeight="1">
      <c r="A6" s="122"/>
      <c r="B6" s="125"/>
      <c r="C6" s="4" t="s">
        <v>18</v>
      </c>
      <c r="D6" s="4" t="s">
        <v>19</v>
      </c>
      <c r="E6" s="5" t="s">
        <v>20</v>
      </c>
      <c r="F6" s="4" t="s">
        <v>18</v>
      </c>
      <c r="G6" s="4" t="s">
        <v>19</v>
      </c>
      <c r="H6" s="4" t="s">
        <v>18</v>
      </c>
      <c r="I6" s="4" t="s">
        <v>19</v>
      </c>
      <c r="J6" s="4" t="s">
        <v>18</v>
      </c>
      <c r="K6" s="4" t="s">
        <v>19</v>
      </c>
      <c r="L6" s="4" t="s">
        <v>18</v>
      </c>
      <c r="M6" s="4" t="s">
        <v>19</v>
      </c>
      <c r="N6" s="4" t="s">
        <v>18</v>
      </c>
      <c r="O6" s="4" t="s">
        <v>19</v>
      </c>
      <c r="P6" s="5" t="s">
        <v>20</v>
      </c>
      <c r="Q6" s="125"/>
      <c r="R6" s="144"/>
      <c r="S6" s="147"/>
      <c r="T6" s="144"/>
      <c r="U6" s="144"/>
      <c r="V6" s="125"/>
      <c r="Y6" s="51"/>
      <c r="AA6" s="52"/>
      <c r="AB6" s="52"/>
    </row>
    <row r="7" spans="1:28" s="3" customFormat="1" ht="49.5" customHeight="1">
      <c r="A7" s="53" t="s">
        <v>102</v>
      </c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  <c r="Y7" s="51"/>
      <c r="AA7" s="52"/>
      <c r="AB7" s="52"/>
    </row>
    <row r="8" spans="1:28" s="12" customFormat="1" ht="26.25" customHeight="1">
      <c r="A8" s="7" t="s">
        <v>103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4"/>
      <c r="S8" s="55"/>
      <c r="T8" s="54"/>
      <c r="U8" s="54"/>
      <c r="V8" s="11"/>
      <c r="Y8" s="56"/>
      <c r="AA8" s="57"/>
      <c r="AB8" s="57"/>
    </row>
    <row r="9" spans="1:28" s="21" customFormat="1" ht="21">
      <c r="A9" s="13" t="s">
        <v>24</v>
      </c>
      <c r="B9" s="36">
        <v>300</v>
      </c>
      <c r="C9" s="16"/>
      <c r="D9" s="16"/>
      <c r="E9" s="16"/>
      <c r="F9" s="58">
        <v>0</v>
      </c>
      <c r="G9" s="58">
        <v>0</v>
      </c>
      <c r="H9" s="58">
        <v>82</v>
      </c>
      <c r="I9" s="58">
        <v>111</v>
      </c>
      <c r="J9" s="58">
        <v>119</v>
      </c>
      <c r="K9" s="58">
        <v>182</v>
      </c>
      <c r="L9" s="58">
        <v>0</v>
      </c>
      <c r="M9" s="58">
        <v>0</v>
      </c>
      <c r="N9" s="58">
        <f>C9+F9+H9+J9+L9</f>
        <v>201</v>
      </c>
      <c r="O9" s="58">
        <f>D9+G9+I9+K9+M9</f>
        <v>293</v>
      </c>
      <c r="P9" s="58">
        <f>N9+O9</f>
        <v>494</v>
      </c>
      <c r="Q9" s="16"/>
      <c r="R9" s="59">
        <v>14850</v>
      </c>
      <c r="S9" s="60">
        <v>14850</v>
      </c>
      <c r="T9" s="29">
        <v>0</v>
      </c>
      <c r="U9" s="29">
        <f>S9+T9</f>
        <v>14850</v>
      </c>
      <c r="V9" s="61">
        <f>U9*100/R9</f>
        <v>100</v>
      </c>
      <c r="W9" s="62">
        <f>F9+H9+J9+L9</f>
        <v>201</v>
      </c>
      <c r="X9" s="62">
        <f>G9+I9+K9+M9</f>
        <v>293</v>
      </c>
      <c r="Y9" s="63">
        <f>W9+X9</f>
        <v>494</v>
      </c>
      <c r="AA9" s="64"/>
      <c r="AB9" s="64"/>
    </row>
    <row r="10" spans="1:28" s="21" customFormat="1" ht="21">
      <c r="A10" s="22" t="s">
        <v>104</v>
      </c>
      <c r="B10" s="3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59"/>
      <c r="S10" s="60"/>
      <c r="T10" s="29"/>
      <c r="U10" s="29"/>
      <c r="V10" s="16"/>
      <c r="W10" s="62">
        <f aca="true" t="shared" si="0" ref="W10:X21">F10+H10+J10+L10</f>
        <v>0</v>
      </c>
      <c r="X10" s="62">
        <f t="shared" si="0"/>
        <v>0</v>
      </c>
      <c r="Y10" s="63">
        <f aca="true" t="shared" si="1" ref="Y10:Y21">W10+X10</f>
        <v>0</v>
      </c>
      <c r="AA10" s="64"/>
      <c r="AB10" s="64"/>
    </row>
    <row r="11" spans="1:28" s="21" customFormat="1" ht="42">
      <c r="A11" s="23" t="s">
        <v>105</v>
      </c>
      <c r="B11" s="36">
        <v>375</v>
      </c>
      <c r="C11" s="16">
        <f>7+36+16+11+12+5+13</f>
        <v>100</v>
      </c>
      <c r="D11" s="16">
        <f>23+39+84+69+13+20+12</f>
        <v>260</v>
      </c>
      <c r="E11" s="16">
        <f aca="true" t="shared" si="2" ref="E11:E20">C11+D11</f>
        <v>360</v>
      </c>
      <c r="F11" s="58">
        <v>0</v>
      </c>
      <c r="G11" s="58">
        <v>0</v>
      </c>
      <c r="H11" s="58">
        <v>0</v>
      </c>
      <c r="I11" s="58">
        <v>4</v>
      </c>
      <c r="J11" s="58">
        <v>1</v>
      </c>
      <c r="K11" s="58">
        <v>3</v>
      </c>
      <c r="L11" s="58">
        <v>2</v>
      </c>
      <c r="M11" s="58">
        <v>16</v>
      </c>
      <c r="N11" s="58">
        <f aca="true" t="shared" si="3" ref="N11:O15">C11+F11+H11+J11+L11</f>
        <v>103</v>
      </c>
      <c r="O11" s="58">
        <f t="shared" si="3"/>
        <v>283</v>
      </c>
      <c r="P11" s="58">
        <f aca="true" t="shared" si="4" ref="P11:P36">N11+O11</f>
        <v>386</v>
      </c>
      <c r="Q11" s="16"/>
      <c r="R11" s="59">
        <v>300000</v>
      </c>
      <c r="S11" s="60">
        <f>20000+119145+41000+23000+43605+32490+8712.77</f>
        <v>287952.77</v>
      </c>
      <c r="T11" s="65">
        <v>0</v>
      </c>
      <c r="U11" s="65">
        <f>S11+T11</f>
        <v>287952.77</v>
      </c>
      <c r="V11" s="61">
        <f>U11*100/R11</f>
        <v>95.98425666666667</v>
      </c>
      <c r="W11" s="62">
        <f>F11+H11+J11+L11</f>
        <v>3</v>
      </c>
      <c r="X11" s="62">
        <f t="shared" si="0"/>
        <v>23</v>
      </c>
      <c r="Y11" s="63">
        <f t="shared" si="1"/>
        <v>26</v>
      </c>
      <c r="AA11" s="64"/>
      <c r="AB11" s="64"/>
    </row>
    <row r="12" spans="1:28" s="21" customFormat="1" ht="42">
      <c r="A12" s="23" t="s">
        <v>106</v>
      </c>
      <c r="B12" s="36">
        <v>542</v>
      </c>
      <c r="C12" s="16">
        <f>9+8+7+6+17+19+3+35+30+35+16+63</f>
        <v>248</v>
      </c>
      <c r="D12" s="16">
        <f>11+7+3+4+14+16+6+30+34+102</f>
        <v>227</v>
      </c>
      <c r="E12" s="16">
        <f t="shared" si="2"/>
        <v>475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f t="shared" si="3"/>
        <v>248</v>
      </c>
      <c r="O12" s="58">
        <f>D12+G12+I12+K12+M12</f>
        <v>227</v>
      </c>
      <c r="P12" s="58">
        <f t="shared" si="4"/>
        <v>475</v>
      </c>
      <c r="Q12" s="20">
        <f>P12*100/B12</f>
        <v>87.63837638376384</v>
      </c>
      <c r="R12" s="59">
        <v>487800</v>
      </c>
      <c r="S12" s="60">
        <f>29000+52400+35574+6764+49026.06+90719.06+111414.44+39046.62</f>
        <v>413944.18</v>
      </c>
      <c r="T12" s="65">
        <v>28799.9</v>
      </c>
      <c r="U12" s="65">
        <f>S12+T12</f>
        <v>442744.08</v>
      </c>
      <c r="V12" s="61">
        <f>U12*100/R12</f>
        <v>90.76344403444034</v>
      </c>
      <c r="W12" s="62">
        <f t="shared" si="0"/>
        <v>0</v>
      </c>
      <c r="X12" s="62">
        <f t="shared" si="0"/>
        <v>0</v>
      </c>
      <c r="Y12" s="63">
        <f t="shared" si="1"/>
        <v>0</v>
      </c>
      <c r="AA12" s="64"/>
      <c r="AB12" s="64"/>
    </row>
    <row r="13" spans="1:28" s="21" customFormat="1" ht="42">
      <c r="A13" s="23" t="s">
        <v>107</v>
      </c>
      <c r="B13" s="36">
        <v>135</v>
      </c>
      <c r="C13" s="16">
        <f>0+4+3+5+3+3+11</f>
        <v>29</v>
      </c>
      <c r="D13" s="16">
        <f>0+24+17+20+31+21+45</f>
        <v>158</v>
      </c>
      <c r="E13" s="16">
        <f t="shared" si="2"/>
        <v>187</v>
      </c>
      <c r="F13" s="58">
        <v>0</v>
      </c>
      <c r="G13" s="58">
        <v>0</v>
      </c>
      <c r="H13" s="58">
        <v>2</v>
      </c>
      <c r="I13" s="58">
        <v>3</v>
      </c>
      <c r="J13" s="58">
        <v>3</v>
      </c>
      <c r="K13" s="58">
        <v>27</v>
      </c>
      <c r="L13" s="58">
        <v>4</v>
      </c>
      <c r="M13" s="58">
        <v>12</v>
      </c>
      <c r="N13" s="58">
        <f>C13+F13+H13+J13+L13</f>
        <v>38</v>
      </c>
      <c r="O13" s="58">
        <f>D13+G13+I13+K13+M13</f>
        <v>200</v>
      </c>
      <c r="P13" s="58">
        <f t="shared" si="4"/>
        <v>238</v>
      </c>
      <c r="Q13" s="20">
        <f>P13*100/B13</f>
        <v>176.2962962962963</v>
      </c>
      <c r="R13" s="59">
        <v>156500</v>
      </c>
      <c r="S13" s="60">
        <f>79600+48970</f>
        <v>128570</v>
      </c>
      <c r="T13" s="29">
        <v>0</v>
      </c>
      <c r="U13" s="29">
        <f>S13+T13</f>
        <v>128570</v>
      </c>
      <c r="V13" s="61">
        <f>U13*100/R13</f>
        <v>82.15335463258786</v>
      </c>
      <c r="W13" s="62">
        <f t="shared" si="0"/>
        <v>9</v>
      </c>
      <c r="X13" s="62">
        <f t="shared" si="0"/>
        <v>42</v>
      </c>
      <c r="Y13" s="63">
        <f t="shared" si="1"/>
        <v>51</v>
      </c>
      <c r="AA13" s="64"/>
      <c r="AB13" s="64"/>
    </row>
    <row r="14" spans="1:28" s="21" customFormat="1" ht="21">
      <c r="A14" s="13" t="s">
        <v>34</v>
      </c>
      <c r="B14" s="36" t="s">
        <v>108</v>
      </c>
      <c r="C14" s="16"/>
      <c r="D14" s="16"/>
      <c r="E14" s="16">
        <f t="shared" si="2"/>
        <v>0</v>
      </c>
      <c r="F14" s="16"/>
      <c r="G14" s="16"/>
      <c r="H14" s="16"/>
      <c r="I14" s="16"/>
      <c r="J14" s="16"/>
      <c r="K14" s="16"/>
      <c r="L14" s="16"/>
      <c r="M14" s="16"/>
      <c r="N14" s="58">
        <f t="shared" si="3"/>
        <v>0</v>
      </c>
      <c r="O14" s="58">
        <f t="shared" si="3"/>
        <v>0</v>
      </c>
      <c r="P14" s="16">
        <f t="shared" si="4"/>
        <v>0</v>
      </c>
      <c r="Q14" s="20" t="s">
        <v>109</v>
      </c>
      <c r="R14" s="59">
        <v>60375</v>
      </c>
      <c r="S14" s="60">
        <f>360+39800+600</f>
        <v>40760</v>
      </c>
      <c r="T14" s="29">
        <v>0</v>
      </c>
      <c r="U14" s="29">
        <f>S14+T14</f>
        <v>40760</v>
      </c>
      <c r="V14" s="61">
        <f>U14*100/R14</f>
        <v>67.51138716356108</v>
      </c>
      <c r="W14" s="62">
        <f t="shared" si="0"/>
        <v>0</v>
      </c>
      <c r="X14" s="62">
        <f t="shared" si="0"/>
        <v>0</v>
      </c>
      <c r="Y14" s="63">
        <f t="shared" si="1"/>
        <v>0</v>
      </c>
      <c r="AA14" s="64"/>
      <c r="AB14" s="64"/>
    </row>
    <row r="15" spans="1:28" s="21" customFormat="1" ht="21">
      <c r="A15" s="23" t="s">
        <v>110</v>
      </c>
      <c r="B15" s="36"/>
      <c r="C15" s="16"/>
      <c r="D15" s="16"/>
      <c r="E15" s="16">
        <f t="shared" si="2"/>
        <v>0</v>
      </c>
      <c r="F15" s="16"/>
      <c r="G15" s="16"/>
      <c r="H15" s="16"/>
      <c r="I15" s="16"/>
      <c r="J15" s="16"/>
      <c r="K15" s="16"/>
      <c r="L15" s="16"/>
      <c r="M15" s="16"/>
      <c r="N15" s="58">
        <f t="shared" si="3"/>
        <v>0</v>
      </c>
      <c r="O15" s="58">
        <f t="shared" si="3"/>
        <v>0</v>
      </c>
      <c r="P15" s="16">
        <f t="shared" si="4"/>
        <v>0</v>
      </c>
      <c r="Q15" s="20" t="s">
        <v>109</v>
      </c>
      <c r="R15" s="59"/>
      <c r="S15" s="60"/>
      <c r="T15" s="29"/>
      <c r="U15" s="29" t="s">
        <v>109</v>
      </c>
      <c r="V15" s="61" t="s">
        <v>109</v>
      </c>
      <c r="W15" s="62">
        <f t="shared" si="0"/>
        <v>0</v>
      </c>
      <c r="X15" s="62">
        <f t="shared" si="0"/>
        <v>0</v>
      </c>
      <c r="Y15" s="63">
        <f t="shared" si="1"/>
        <v>0</v>
      </c>
      <c r="AA15" s="64"/>
      <c r="AB15" s="64"/>
    </row>
    <row r="16" spans="1:27" ht="42">
      <c r="A16" s="25" t="s">
        <v>111</v>
      </c>
      <c r="B16" s="42">
        <v>528</v>
      </c>
      <c r="C16" s="27">
        <f>93+59+118</f>
        <v>270</v>
      </c>
      <c r="D16" s="27">
        <f>107+76+115</f>
        <v>298</v>
      </c>
      <c r="E16" s="16">
        <f t="shared" si="2"/>
        <v>568</v>
      </c>
      <c r="F16" s="58">
        <v>0</v>
      </c>
      <c r="G16" s="58">
        <v>0</v>
      </c>
      <c r="H16" s="58">
        <f>2+16</f>
        <v>18</v>
      </c>
      <c r="I16" s="58">
        <v>6</v>
      </c>
      <c r="J16" s="58">
        <f>3+10</f>
        <v>13</v>
      </c>
      <c r="K16" s="58">
        <f>2+8</f>
        <v>10</v>
      </c>
      <c r="L16" s="58">
        <v>4</v>
      </c>
      <c r="M16" s="58">
        <v>19</v>
      </c>
      <c r="N16" s="58">
        <f>C16+F16+H16+J16+L16</f>
        <v>305</v>
      </c>
      <c r="O16" s="58">
        <f>D16+G16+I16+K16+M16</f>
        <v>333</v>
      </c>
      <c r="P16" s="16">
        <f t="shared" si="4"/>
        <v>638</v>
      </c>
      <c r="Q16" s="20" t="s">
        <v>109</v>
      </c>
      <c r="R16" s="66"/>
      <c r="S16" s="67"/>
      <c r="T16" s="68"/>
      <c r="U16" s="29">
        <v>0</v>
      </c>
      <c r="V16" s="61" t="s">
        <v>109</v>
      </c>
      <c r="W16" s="62">
        <f t="shared" si="0"/>
        <v>35</v>
      </c>
      <c r="X16" s="62">
        <f t="shared" si="0"/>
        <v>35</v>
      </c>
      <c r="Y16" s="63">
        <f t="shared" si="1"/>
        <v>70</v>
      </c>
      <c r="AA16" s="50" t="s">
        <v>112</v>
      </c>
    </row>
    <row r="17" spans="1:28" s="21" customFormat="1" ht="21">
      <c r="A17" s="13" t="s">
        <v>36</v>
      </c>
      <c r="B17" s="36"/>
      <c r="C17" s="16"/>
      <c r="D17" s="16"/>
      <c r="E17" s="16">
        <f t="shared" si="2"/>
        <v>0</v>
      </c>
      <c r="F17" s="16"/>
      <c r="G17" s="16"/>
      <c r="H17" s="16"/>
      <c r="I17" s="16"/>
      <c r="J17" s="16"/>
      <c r="K17" s="16"/>
      <c r="L17" s="16"/>
      <c r="M17" s="16"/>
      <c r="N17" s="58" t="s">
        <v>109</v>
      </c>
      <c r="O17" s="58" t="s">
        <v>109</v>
      </c>
      <c r="P17" s="16" t="s">
        <v>109</v>
      </c>
      <c r="Q17" s="20" t="s">
        <v>109</v>
      </c>
      <c r="R17" s="59">
        <v>219000</v>
      </c>
      <c r="S17" s="60">
        <f>102441.2+40690+43756+10420.25+14990.12</f>
        <v>212297.57</v>
      </c>
      <c r="T17" s="65">
        <v>0</v>
      </c>
      <c r="U17" s="65">
        <f>S17+T17</f>
        <v>212297.57</v>
      </c>
      <c r="V17" s="61">
        <f>U17*100/R17</f>
        <v>96.9395296803653</v>
      </c>
      <c r="W17" s="62">
        <f t="shared" si="0"/>
        <v>0</v>
      </c>
      <c r="X17" s="62">
        <f t="shared" si="0"/>
        <v>0</v>
      </c>
      <c r="Y17" s="63">
        <f t="shared" si="1"/>
        <v>0</v>
      </c>
      <c r="AA17" s="64"/>
      <c r="AB17" s="64"/>
    </row>
    <row r="18" spans="1:28" s="21" customFormat="1" ht="22.5" customHeight="1">
      <c r="A18" s="69" t="s">
        <v>113</v>
      </c>
      <c r="B18" s="36">
        <v>960</v>
      </c>
      <c r="C18" s="16">
        <f>42+51+61+57+43</f>
        <v>254</v>
      </c>
      <c r="D18" s="16">
        <f>78+159+311+226+137</f>
        <v>911</v>
      </c>
      <c r="E18" s="16">
        <f t="shared" si="2"/>
        <v>1165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3</v>
      </c>
      <c r="M18" s="58">
        <v>27</v>
      </c>
      <c r="N18" s="58">
        <f aca="true" t="shared" si="5" ref="N18:O26">C18+F18+H18+J18+L18</f>
        <v>257</v>
      </c>
      <c r="O18" s="58">
        <f t="shared" si="5"/>
        <v>938</v>
      </c>
      <c r="P18" s="16">
        <f t="shared" si="4"/>
        <v>1195</v>
      </c>
      <c r="Q18" s="20" t="s">
        <v>109</v>
      </c>
      <c r="R18" s="59" t="s">
        <v>109</v>
      </c>
      <c r="S18" s="60"/>
      <c r="T18" s="29"/>
      <c r="U18" s="29"/>
      <c r="V18" s="16"/>
      <c r="W18" s="62">
        <f t="shared" si="0"/>
        <v>3</v>
      </c>
      <c r="X18" s="62">
        <f t="shared" si="0"/>
        <v>27</v>
      </c>
      <c r="Y18" s="63">
        <f t="shared" si="1"/>
        <v>30</v>
      </c>
      <c r="AA18" s="64"/>
      <c r="AB18" s="64"/>
    </row>
    <row r="19" spans="1:28" s="21" customFormat="1" ht="21">
      <c r="A19" s="13" t="s">
        <v>41</v>
      </c>
      <c r="B19" s="36"/>
      <c r="C19" s="16"/>
      <c r="D19" s="16"/>
      <c r="E19" s="16">
        <f t="shared" si="2"/>
        <v>0</v>
      </c>
      <c r="F19" s="16"/>
      <c r="G19" s="16"/>
      <c r="H19" s="16"/>
      <c r="I19" s="16"/>
      <c r="J19" s="16"/>
      <c r="K19" s="16"/>
      <c r="L19" s="16"/>
      <c r="M19" s="16"/>
      <c r="N19" s="58">
        <f t="shared" si="5"/>
        <v>0</v>
      </c>
      <c r="O19" s="58">
        <f t="shared" si="5"/>
        <v>0</v>
      </c>
      <c r="P19" s="16">
        <f t="shared" si="4"/>
        <v>0</v>
      </c>
      <c r="Q19" s="20" t="s">
        <v>109</v>
      </c>
      <c r="R19" s="59"/>
      <c r="S19" s="60"/>
      <c r="T19" s="29"/>
      <c r="U19" s="29"/>
      <c r="V19" s="16"/>
      <c r="W19" s="62">
        <f t="shared" si="0"/>
        <v>0</v>
      </c>
      <c r="X19" s="62">
        <f t="shared" si="0"/>
        <v>0</v>
      </c>
      <c r="Y19" s="63">
        <f t="shared" si="1"/>
        <v>0</v>
      </c>
      <c r="AA19" s="64"/>
      <c r="AB19" s="64"/>
    </row>
    <row r="20" spans="1:28" s="74" customFormat="1" ht="42">
      <c r="A20" s="23" t="s">
        <v>114</v>
      </c>
      <c r="B20" s="70">
        <v>1600</v>
      </c>
      <c r="C20" s="23">
        <f>13+12+63+135+149+180</f>
        <v>552</v>
      </c>
      <c r="D20" s="23">
        <f>27+38+97+155+241+302</f>
        <v>860</v>
      </c>
      <c r="E20" s="16">
        <f t="shared" si="2"/>
        <v>1412</v>
      </c>
      <c r="F20" s="58">
        <v>0</v>
      </c>
      <c r="G20" s="58">
        <v>0</v>
      </c>
      <c r="H20" s="58">
        <v>54</v>
      </c>
      <c r="I20" s="58">
        <v>65</v>
      </c>
      <c r="J20" s="58">
        <v>14</v>
      </c>
      <c r="K20" s="58">
        <v>44</v>
      </c>
      <c r="L20" s="58">
        <v>0</v>
      </c>
      <c r="M20" s="58">
        <v>7</v>
      </c>
      <c r="N20" s="58">
        <f t="shared" si="5"/>
        <v>620</v>
      </c>
      <c r="O20" s="58">
        <f t="shared" si="5"/>
        <v>976</v>
      </c>
      <c r="P20" s="16">
        <f t="shared" si="4"/>
        <v>1596</v>
      </c>
      <c r="Q20" s="20" t="s">
        <v>109</v>
      </c>
      <c r="R20" s="70">
        <v>102400</v>
      </c>
      <c r="S20" s="71">
        <f>4400+1800+5000+3800+63100+23700</f>
        <v>101800</v>
      </c>
      <c r="T20" s="72">
        <v>0</v>
      </c>
      <c r="U20" s="72">
        <f>S20+T20</f>
        <v>101800</v>
      </c>
      <c r="V20" s="73">
        <f>U20*100/R20</f>
        <v>99.4140625</v>
      </c>
      <c r="W20" s="62">
        <f t="shared" si="0"/>
        <v>68</v>
      </c>
      <c r="X20" s="62">
        <f t="shared" si="0"/>
        <v>116</v>
      </c>
      <c r="Y20" s="63">
        <f t="shared" si="1"/>
        <v>184</v>
      </c>
      <c r="AA20" s="75"/>
      <c r="AB20" s="75"/>
    </row>
    <row r="21" spans="1:28" s="74" customFormat="1" ht="42">
      <c r="A21" s="23" t="s">
        <v>115</v>
      </c>
      <c r="B21" s="24">
        <v>27</v>
      </c>
      <c r="C21" s="23">
        <v>9</v>
      </c>
      <c r="D21" s="23">
        <v>17</v>
      </c>
      <c r="E21" s="23"/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f t="shared" si="5"/>
        <v>9</v>
      </c>
      <c r="O21" s="58">
        <f t="shared" si="5"/>
        <v>17</v>
      </c>
      <c r="P21" s="16">
        <f t="shared" si="4"/>
        <v>26</v>
      </c>
      <c r="Q21" s="20"/>
      <c r="R21" s="70">
        <v>0</v>
      </c>
      <c r="S21" s="71">
        <v>0</v>
      </c>
      <c r="T21" s="72"/>
      <c r="U21" s="72"/>
      <c r="V21" s="23"/>
      <c r="W21" s="62">
        <f t="shared" si="0"/>
        <v>0</v>
      </c>
      <c r="X21" s="74">
        <f t="shared" si="0"/>
        <v>0</v>
      </c>
      <c r="Y21" s="63">
        <f t="shared" si="1"/>
        <v>0</v>
      </c>
      <c r="AA21" s="75"/>
      <c r="AB21" s="75"/>
    </row>
    <row r="22" spans="1:28" s="74" customFormat="1" ht="21">
      <c r="A22" s="23"/>
      <c r="B22" s="24"/>
      <c r="C22" s="23"/>
      <c r="D22" s="23"/>
      <c r="E22" s="23"/>
      <c r="F22" s="58"/>
      <c r="G22" s="58"/>
      <c r="H22" s="58"/>
      <c r="I22" s="58"/>
      <c r="J22" s="58"/>
      <c r="K22" s="58"/>
      <c r="L22" s="58"/>
      <c r="M22" s="58"/>
      <c r="N22" s="58">
        <f t="shared" si="5"/>
        <v>0</v>
      </c>
      <c r="O22" s="58">
        <f t="shared" si="5"/>
        <v>0</v>
      </c>
      <c r="P22" s="16">
        <f t="shared" si="4"/>
        <v>0</v>
      </c>
      <c r="Q22" s="20"/>
      <c r="R22" s="70"/>
      <c r="S22" s="71"/>
      <c r="T22" s="72"/>
      <c r="U22" s="72"/>
      <c r="V22" s="23"/>
      <c r="Y22" s="76"/>
      <c r="AA22" s="75"/>
      <c r="AB22" s="75"/>
    </row>
    <row r="23" spans="1:28" s="74" customFormat="1" ht="21">
      <c r="A23" s="23"/>
      <c r="B23" s="24"/>
      <c r="C23" s="23"/>
      <c r="D23" s="23"/>
      <c r="E23" s="23"/>
      <c r="F23" s="58"/>
      <c r="G23" s="58"/>
      <c r="H23" s="58"/>
      <c r="I23" s="58"/>
      <c r="J23" s="58"/>
      <c r="K23" s="58"/>
      <c r="L23" s="58"/>
      <c r="M23" s="58"/>
      <c r="N23" s="58">
        <f t="shared" si="5"/>
        <v>0</v>
      </c>
      <c r="O23" s="58">
        <f t="shared" si="5"/>
        <v>0</v>
      </c>
      <c r="P23" s="16">
        <f t="shared" si="4"/>
        <v>0</v>
      </c>
      <c r="Q23" s="20"/>
      <c r="R23" s="70"/>
      <c r="S23" s="71"/>
      <c r="T23" s="72"/>
      <c r="U23" s="72"/>
      <c r="V23" s="23"/>
      <c r="Y23" s="76"/>
      <c r="AA23" s="75"/>
      <c r="AB23" s="75"/>
    </row>
    <row r="24" spans="1:28" s="21" customFormat="1" ht="21">
      <c r="A24" s="13" t="s">
        <v>46</v>
      </c>
      <c r="B24" s="3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58">
        <f t="shared" si="5"/>
        <v>0</v>
      </c>
      <c r="O24" s="58">
        <f t="shared" si="5"/>
        <v>0</v>
      </c>
      <c r="P24" s="16">
        <f t="shared" si="4"/>
        <v>0</v>
      </c>
      <c r="Q24" s="20" t="s">
        <v>109</v>
      </c>
      <c r="R24" s="59"/>
      <c r="S24" s="60"/>
      <c r="T24" s="29"/>
      <c r="U24" s="29"/>
      <c r="V24" s="16"/>
      <c r="Y24" s="49"/>
      <c r="AA24" s="64"/>
      <c r="AB24" s="64"/>
    </row>
    <row r="25" spans="1:28" s="21" customFormat="1" ht="42">
      <c r="A25" s="23" t="s">
        <v>116</v>
      </c>
      <c r="B25" s="36">
        <v>50</v>
      </c>
      <c r="C25" s="16">
        <v>8</v>
      </c>
      <c r="D25" s="16">
        <v>42</v>
      </c>
      <c r="E25" s="16"/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f t="shared" si="5"/>
        <v>8</v>
      </c>
      <c r="O25" s="58">
        <f t="shared" si="5"/>
        <v>42</v>
      </c>
      <c r="P25" s="16">
        <f t="shared" si="4"/>
        <v>50</v>
      </c>
      <c r="Q25" s="20" t="s">
        <v>109</v>
      </c>
      <c r="R25" s="59"/>
      <c r="S25" s="60"/>
      <c r="T25" s="29"/>
      <c r="U25" s="29"/>
      <c r="V25" s="16"/>
      <c r="Y25" s="49"/>
      <c r="AA25" s="64"/>
      <c r="AB25" s="64"/>
    </row>
    <row r="26" spans="1:28" s="21" customFormat="1" ht="21">
      <c r="A26" s="13" t="s">
        <v>47</v>
      </c>
      <c r="B26" s="3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58">
        <f t="shared" si="5"/>
        <v>0</v>
      </c>
      <c r="O26" s="58">
        <f t="shared" si="5"/>
        <v>0</v>
      </c>
      <c r="P26" s="16">
        <f t="shared" si="4"/>
        <v>0</v>
      </c>
      <c r="Q26" s="20" t="s">
        <v>109</v>
      </c>
      <c r="R26" s="59"/>
      <c r="S26" s="60"/>
      <c r="T26" s="29"/>
      <c r="U26" s="29"/>
      <c r="V26" s="16"/>
      <c r="Y26" s="49"/>
      <c r="AA26" s="64"/>
      <c r="AB26" s="64"/>
    </row>
    <row r="27" spans="1:22" ht="42">
      <c r="A27" s="77" t="s">
        <v>48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>
        <f aca="true" t="shared" si="6" ref="N27:O36">F27+H27+J27+L27</f>
        <v>0</v>
      </c>
      <c r="O27" s="79">
        <f t="shared" si="6"/>
        <v>0</v>
      </c>
      <c r="P27" s="79">
        <f t="shared" si="4"/>
        <v>0</v>
      </c>
      <c r="Q27" s="20" t="s">
        <v>109</v>
      </c>
      <c r="R27" s="80"/>
      <c r="S27" s="81"/>
      <c r="T27" s="82"/>
      <c r="U27" s="82"/>
      <c r="V27" s="79"/>
    </row>
    <row r="28" spans="1:28" s="21" customFormat="1" ht="21">
      <c r="A28" s="13" t="s">
        <v>49</v>
      </c>
      <c r="B28" s="3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6"/>
        <v>0</v>
      </c>
      <c r="O28" s="16">
        <f t="shared" si="6"/>
        <v>0</v>
      </c>
      <c r="P28" s="16">
        <f t="shared" si="4"/>
        <v>0</v>
      </c>
      <c r="Q28" s="20" t="s">
        <v>109</v>
      </c>
      <c r="R28" s="59"/>
      <c r="S28" s="60"/>
      <c r="T28" s="29"/>
      <c r="U28" s="29"/>
      <c r="V28" s="16"/>
      <c r="Y28" s="49"/>
      <c r="AA28" s="64"/>
      <c r="AB28" s="64"/>
    </row>
    <row r="29" spans="1:28" s="21" customFormat="1" ht="21">
      <c r="A29" s="13" t="s">
        <v>50</v>
      </c>
      <c r="B29" s="3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f t="shared" si="6"/>
        <v>0</v>
      </c>
      <c r="O29" s="16">
        <f t="shared" si="6"/>
        <v>0</v>
      </c>
      <c r="P29" s="16">
        <f t="shared" si="4"/>
        <v>0</v>
      </c>
      <c r="Q29" s="20" t="s">
        <v>109</v>
      </c>
      <c r="R29" s="59"/>
      <c r="S29" s="60"/>
      <c r="T29" s="29"/>
      <c r="U29" s="29"/>
      <c r="V29" s="16"/>
      <c r="Y29" s="49"/>
      <c r="AA29" s="64"/>
      <c r="AB29" s="64"/>
    </row>
    <row r="30" spans="1:28" s="21" customFormat="1" ht="21">
      <c r="A30" s="13" t="s">
        <v>51</v>
      </c>
      <c r="B30" s="3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f t="shared" si="6"/>
        <v>0</v>
      </c>
      <c r="O30" s="16">
        <f t="shared" si="6"/>
        <v>0</v>
      </c>
      <c r="P30" s="16">
        <f t="shared" si="4"/>
        <v>0</v>
      </c>
      <c r="Q30" s="20" t="s">
        <v>109</v>
      </c>
      <c r="R30" s="59"/>
      <c r="S30" s="60"/>
      <c r="T30" s="29"/>
      <c r="U30" s="29"/>
      <c r="V30" s="16"/>
      <c r="Y30" s="49"/>
      <c r="AA30" s="64"/>
      <c r="AB30" s="64"/>
    </row>
    <row r="31" spans="1:28" s="21" customFormat="1" ht="21">
      <c r="A31" s="13" t="s">
        <v>52</v>
      </c>
      <c r="B31" s="3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 t="shared" si="6"/>
        <v>0</v>
      </c>
      <c r="O31" s="16">
        <f t="shared" si="6"/>
        <v>0</v>
      </c>
      <c r="P31" s="16">
        <f t="shared" si="4"/>
        <v>0</v>
      </c>
      <c r="Q31" s="20" t="s">
        <v>109</v>
      </c>
      <c r="R31" s="59"/>
      <c r="S31" s="60"/>
      <c r="T31" s="29"/>
      <c r="U31" s="29"/>
      <c r="V31" s="16"/>
      <c r="Y31" s="49"/>
      <c r="AA31" s="64"/>
      <c r="AB31" s="64"/>
    </row>
    <row r="32" spans="1:22" ht="42">
      <c r="A32" s="31" t="s">
        <v>53</v>
      </c>
      <c r="B32" s="48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3">
        <f t="shared" si="6"/>
        <v>0</v>
      </c>
      <c r="O32" s="83">
        <f t="shared" si="6"/>
        <v>0</v>
      </c>
      <c r="P32" s="83">
        <f t="shared" si="4"/>
        <v>0</v>
      </c>
      <c r="Q32" s="84" t="s">
        <v>109</v>
      </c>
      <c r="R32" s="85"/>
      <c r="S32" s="86"/>
      <c r="T32" s="87"/>
      <c r="U32" s="87"/>
      <c r="V32" s="83"/>
    </row>
    <row r="33" spans="1:28" s="21" customFormat="1" ht="42">
      <c r="A33" s="24" t="s">
        <v>54</v>
      </c>
      <c r="B33" s="3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6"/>
        <v>0</v>
      </c>
      <c r="O33" s="16">
        <f t="shared" si="6"/>
        <v>0</v>
      </c>
      <c r="P33" s="16">
        <f t="shared" si="4"/>
        <v>0</v>
      </c>
      <c r="Q33" s="20" t="s">
        <v>109</v>
      </c>
      <c r="R33" s="59"/>
      <c r="S33" s="60"/>
      <c r="T33" s="29"/>
      <c r="U33" s="29"/>
      <c r="V33" s="16"/>
      <c r="Y33" s="49"/>
      <c r="AA33" s="64"/>
      <c r="AB33" s="64"/>
    </row>
    <row r="34" spans="1:28" s="21" customFormat="1" ht="21">
      <c r="A34" s="13" t="s">
        <v>55</v>
      </c>
      <c r="B34" s="3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>
        <f t="shared" si="6"/>
        <v>0</v>
      </c>
      <c r="O34" s="16">
        <f t="shared" si="6"/>
        <v>0</v>
      </c>
      <c r="P34" s="16">
        <f t="shared" si="4"/>
        <v>0</v>
      </c>
      <c r="Q34" s="20" t="s">
        <v>109</v>
      </c>
      <c r="R34" s="59"/>
      <c r="S34" s="60"/>
      <c r="T34" s="29"/>
      <c r="U34" s="29"/>
      <c r="V34" s="16"/>
      <c r="Y34" s="49"/>
      <c r="AA34" s="64"/>
      <c r="AB34" s="64"/>
    </row>
    <row r="35" spans="1:28" s="21" customFormat="1" ht="21">
      <c r="A35" s="13" t="s">
        <v>56</v>
      </c>
      <c r="B35" s="8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f t="shared" si="6"/>
        <v>0</v>
      </c>
      <c r="O35" s="16">
        <f t="shared" si="6"/>
        <v>0</v>
      </c>
      <c r="P35" s="16">
        <f t="shared" si="4"/>
        <v>0</v>
      </c>
      <c r="Q35" s="20" t="s">
        <v>109</v>
      </c>
      <c r="R35" s="59"/>
      <c r="S35" s="60"/>
      <c r="T35" s="29"/>
      <c r="U35" s="29"/>
      <c r="V35" s="16"/>
      <c r="Y35" s="49"/>
      <c r="AA35" s="64"/>
      <c r="AB35" s="64"/>
    </row>
    <row r="36" spans="1:28" s="21" customFormat="1" ht="21">
      <c r="A36" s="13" t="s">
        <v>57</v>
      </c>
      <c r="B36" s="3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>
        <f t="shared" si="6"/>
        <v>0</v>
      </c>
      <c r="O36" s="16">
        <f t="shared" si="6"/>
        <v>0</v>
      </c>
      <c r="P36" s="16">
        <f t="shared" si="4"/>
        <v>0</v>
      </c>
      <c r="Q36" s="20" t="s">
        <v>109</v>
      </c>
      <c r="R36" s="59"/>
      <c r="S36" s="60"/>
      <c r="T36" s="29"/>
      <c r="U36" s="29"/>
      <c r="V36" s="16"/>
      <c r="Y36" s="49"/>
      <c r="AA36" s="64"/>
      <c r="AB36" s="64"/>
    </row>
    <row r="37" spans="1:28" s="21" customFormat="1" ht="21">
      <c r="A37" s="24" t="s">
        <v>58</v>
      </c>
      <c r="B37" s="3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>
        <f>F37+H37+J37+L37</f>
        <v>0</v>
      </c>
      <c r="O37" s="16">
        <f>G37+I37+K37+M37</f>
        <v>0</v>
      </c>
      <c r="P37" s="16">
        <f>N37+O37</f>
        <v>0</v>
      </c>
      <c r="Q37" s="20" t="s">
        <v>109</v>
      </c>
      <c r="R37" s="59"/>
      <c r="S37" s="60"/>
      <c r="T37" s="29"/>
      <c r="U37" s="29"/>
      <c r="V37" s="16"/>
      <c r="Y37" s="49"/>
      <c r="AA37" s="64"/>
      <c r="AB37" s="64"/>
    </row>
    <row r="38" spans="1:23" ht="21">
      <c r="A38" s="89" t="s">
        <v>117</v>
      </c>
      <c r="B38" s="90">
        <f>B39+B55+B64</f>
        <v>98199</v>
      </c>
      <c r="C38" s="90">
        <f aca="true" t="shared" si="7" ref="C38:M38">C39+C55+C64</f>
        <v>55693</v>
      </c>
      <c r="D38" s="90">
        <f t="shared" si="7"/>
        <v>61395</v>
      </c>
      <c r="E38" s="90">
        <f t="shared" si="7"/>
        <v>117088</v>
      </c>
      <c r="F38" s="90">
        <f t="shared" si="7"/>
        <v>791</v>
      </c>
      <c r="G38" s="90">
        <f t="shared" si="7"/>
        <v>819</v>
      </c>
      <c r="H38" s="90">
        <f t="shared" si="7"/>
        <v>2213</v>
      </c>
      <c r="I38" s="90">
        <f t="shared" si="7"/>
        <v>2564</v>
      </c>
      <c r="J38" s="90">
        <f t="shared" si="7"/>
        <v>1437</v>
      </c>
      <c r="K38" s="90">
        <f t="shared" si="7"/>
        <v>1221</v>
      </c>
      <c r="L38" s="90">
        <f t="shared" si="7"/>
        <v>500</v>
      </c>
      <c r="M38" s="90">
        <f t="shared" si="7"/>
        <v>434</v>
      </c>
      <c r="N38" s="90">
        <f>C38+F38+H38+J38+L38</f>
        <v>60634</v>
      </c>
      <c r="O38" s="90">
        <f>D38+G38+I38+K38+M38</f>
        <v>66433</v>
      </c>
      <c r="P38" s="90">
        <f>N38+O38</f>
        <v>127067</v>
      </c>
      <c r="Q38" s="91">
        <f aca="true" t="shared" si="8" ref="Q38:Q53">P38*100/B38</f>
        <v>129.39744803918575</v>
      </c>
      <c r="R38" s="80"/>
      <c r="S38" s="81"/>
      <c r="T38" s="79"/>
      <c r="U38" s="79"/>
      <c r="V38" s="79"/>
      <c r="W38" s="1" t="s">
        <v>118</v>
      </c>
    </row>
    <row r="39" spans="1:28" ht="21">
      <c r="A39" s="89" t="s">
        <v>119</v>
      </c>
      <c r="B39" s="90">
        <f>SUM(B40:B53)</f>
        <v>50000</v>
      </c>
      <c r="C39" s="90">
        <f aca="true" t="shared" si="9" ref="C39:M39">SUM(C40:C53)</f>
        <v>31952</v>
      </c>
      <c r="D39" s="90">
        <f t="shared" si="9"/>
        <v>33584</v>
      </c>
      <c r="E39" s="90">
        <f>C39+D39</f>
        <v>65536</v>
      </c>
      <c r="F39" s="90">
        <f>SUM(F40:F53)</f>
        <v>600</v>
      </c>
      <c r="G39" s="90">
        <f t="shared" si="9"/>
        <v>607</v>
      </c>
      <c r="H39" s="90">
        <f t="shared" si="9"/>
        <v>976</v>
      </c>
      <c r="I39" s="90">
        <f t="shared" si="9"/>
        <v>1039</v>
      </c>
      <c r="J39" s="90">
        <f t="shared" si="9"/>
        <v>718</v>
      </c>
      <c r="K39" s="90">
        <f t="shared" si="9"/>
        <v>672</v>
      </c>
      <c r="L39" s="90">
        <f t="shared" si="9"/>
        <v>231</v>
      </c>
      <c r="M39" s="90">
        <f t="shared" si="9"/>
        <v>217</v>
      </c>
      <c r="N39" s="90">
        <f>C39+F39+H39+J39+L39</f>
        <v>34477</v>
      </c>
      <c r="O39" s="90">
        <f>D39+G39+I39+K39+M39</f>
        <v>36119</v>
      </c>
      <c r="P39" s="90">
        <f>N39+O39</f>
        <v>70596</v>
      </c>
      <c r="Q39" s="91">
        <f t="shared" si="8"/>
        <v>141.192</v>
      </c>
      <c r="R39" s="80">
        <f>224980+29300+20000</f>
        <v>274280</v>
      </c>
      <c r="S39" s="81">
        <f>75079.4+15865.89+26339.28+132271.47</f>
        <v>249556.03999999998</v>
      </c>
      <c r="T39" s="81">
        <v>20000</v>
      </c>
      <c r="U39" s="81">
        <f>S39+T39</f>
        <v>269556.04</v>
      </c>
      <c r="V39" s="92">
        <f>U39*100/R39</f>
        <v>98.27768703514656</v>
      </c>
      <c r="W39" s="93">
        <f>F39+H39+J39+L39</f>
        <v>2525</v>
      </c>
      <c r="X39" s="93">
        <f>G39+I39+K39+M39</f>
        <v>2535</v>
      </c>
      <c r="Y39" s="93">
        <f>W39+X39</f>
        <v>5060</v>
      </c>
      <c r="AA39" s="50">
        <v>7300</v>
      </c>
      <c r="AB39" s="50">
        <v>7299</v>
      </c>
    </row>
    <row r="40" spans="1:28" s="21" customFormat="1" ht="21">
      <c r="A40" s="36" t="s">
        <v>60</v>
      </c>
      <c r="B40" s="59">
        <v>30000</v>
      </c>
      <c r="C40" s="16">
        <f>2476+1992+2256+2256+2119+2119+1877+1586+1163+1063+939</f>
        <v>19846</v>
      </c>
      <c r="D40" s="16">
        <f>3203+2097+2303+2303+2219+2219+1293+1849+1345+1294+1086</f>
        <v>21211</v>
      </c>
      <c r="E40" s="94">
        <f aca="true" t="shared" si="10" ref="E40:E96">C40+D40</f>
        <v>41057</v>
      </c>
      <c r="F40" s="16">
        <v>221</v>
      </c>
      <c r="G40" s="16">
        <v>220</v>
      </c>
      <c r="H40" s="16">
        <v>502</v>
      </c>
      <c r="I40" s="16">
        <v>553</v>
      </c>
      <c r="J40" s="16">
        <v>399</v>
      </c>
      <c r="K40" s="16">
        <v>345</v>
      </c>
      <c r="L40" s="16">
        <v>82</v>
      </c>
      <c r="M40" s="16">
        <v>74</v>
      </c>
      <c r="N40" s="16">
        <f aca="true" t="shared" si="11" ref="N40:O53">F40+H40+J40+L40+C40</f>
        <v>21050</v>
      </c>
      <c r="O40" s="16">
        <f t="shared" si="11"/>
        <v>22403</v>
      </c>
      <c r="P40" s="16">
        <f>N40+O40</f>
        <v>43453</v>
      </c>
      <c r="Q40" s="20">
        <f t="shared" si="8"/>
        <v>144.84333333333333</v>
      </c>
      <c r="R40" s="59"/>
      <c r="S40" s="60"/>
      <c r="T40" s="16"/>
      <c r="U40" s="16"/>
      <c r="V40" s="16"/>
      <c r="W40" s="62">
        <f>F40+H40+J40+L40</f>
        <v>1204</v>
      </c>
      <c r="X40" s="62">
        <f aca="true" t="shared" si="12" ref="W40:X55">G40+I40+K40+M40</f>
        <v>1192</v>
      </c>
      <c r="Y40" s="63">
        <f aca="true" t="shared" si="13" ref="Y40:Y96">W40+X40</f>
        <v>2396</v>
      </c>
      <c r="AA40" s="64">
        <v>12000</v>
      </c>
      <c r="AB40" s="64">
        <v>11930</v>
      </c>
    </row>
    <row r="41" spans="1:28" s="21" customFormat="1" ht="21">
      <c r="A41" s="36" t="s">
        <v>61</v>
      </c>
      <c r="B41" s="59">
        <v>700</v>
      </c>
      <c r="C41" s="16">
        <f>5+7+4+7+6+6+4+12+76+66+17</f>
        <v>210</v>
      </c>
      <c r="D41" s="16">
        <f>18+17+18+17+28+28+20+21+78+74+31</f>
        <v>350</v>
      </c>
      <c r="E41" s="94">
        <f t="shared" si="10"/>
        <v>560</v>
      </c>
      <c r="F41" s="58">
        <v>1</v>
      </c>
      <c r="G41" s="58">
        <v>5</v>
      </c>
      <c r="H41" s="58">
        <v>7</v>
      </c>
      <c r="I41" s="58">
        <v>11</v>
      </c>
      <c r="J41" s="58">
        <v>2</v>
      </c>
      <c r="K41" s="58">
        <v>0</v>
      </c>
      <c r="L41" s="58">
        <v>1</v>
      </c>
      <c r="M41" s="58">
        <v>2</v>
      </c>
      <c r="N41" s="58">
        <f t="shared" si="11"/>
        <v>221</v>
      </c>
      <c r="O41" s="58">
        <f t="shared" si="11"/>
        <v>368</v>
      </c>
      <c r="P41" s="16">
        <f aca="true" t="shared" si="14" ref="P41:P96">N41+O41</f>
        <v>589</v>
      </c>
      <c r="Q41" s="20">
        <f t="shared" si="8"/>
        <v>84.14285714285714</v>
      </c>
      <c r="R41" s="59"/>
      <c r="S41" s="60"/>
      <c r="T41" s="16"/>
      <c r="U41" s="16"/>
      <c r="V41" s="16"/>
      <c r="W41" s="62">
        <f t="shared" si="12"/>
        <v>11</v>
      </c>
      <c r="X41" s="62">
        <f t="shared" si="12"/>
        <v>18</v>
      </c>
      <c r="Y41" s="63">
        <f t="shared" si="13"/>
        <v>29</v>
      </c>
      <c r="AA41" s="64">
        <v>5000</v>
      </c>
      <c r="AB41" s="64">
        <v>4843.89</v>
      </c>
    </row>
    <row r="42" spans="1:28" s="21" customFormat="1" ht="21">
      <c r="A42" s="36" t="s">
        <v>62</v>
      </c>
      <c r="B42" s="36"/>
      <c r="C42" s="16">
        <v>0</v>
      </c>
      <c r="D42" s="16">
        <v>0</v>
      </c>
      <c r="E42" s="94">
        <f t="shared" si="10"/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f t="shared" si="11"/>
        <v>0</v>
      </c>
      <c r="O42" s="58">
        <f t="shared" si="11"/>
        <v>0</v>
      </c>
      <c r="P42" s="16">
        <f t="shared" si="14"/>
        <v>0</v>
      </c>
      <c r="Q42" s="20">
        <v>0</v>
      </c>
      <c r="R42" s="59"/>
      <c r="S42" s="60"/>
      <c r="T42" s="16"/>
      <c r="U42" s="16"/>
      <c r="V42" s="16"/>
      <c r="W42" s="62">
        <f t="shared" si="12"/>
        <v>0</v>
      </c>
      <c r="X42" s="62">
        <f t="shared" si="12"/>
        <v>0</v>
      </c>
      <c r="Y42" s="63">
        <f t="shared" si="13"/>
        <v>0</v>
      </c>
      <c r="AA42" s="64">
        <v>12000</v>
      </c>
      <c r="AB42" s="64">
        <v>11998.69</v>
      </c>
    </row>
    <row r="43" spans="1:28" s="21" customFormat="1" ht="21">
      <c r="A43" s="16" t="s">
        <v>120</v>
      </c>
      <c r="B43" s="36">
        <v>300</v>
      </c>
      <c r="C43" s="16">
        <f>195+195</f>
        <v>390</v>
      </c>
      <c r="D43" s="16">
        <f>161+161</f>
        <v>322</v>
      </c>
      <c r="E43" s="94">
        <f t="shared" si="10"/>
        <v>712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f t="shared" si="11"/>
        <v>390</v>
      </c>
      <c r="O43" s="58">
        <f t="shared" si="11"/>
        <v>322</v>
      </c>
      <c r="P43" s="16">
        <f t="shared" si="14"/>
        <v>712</v>
      </c>
      <c r="Q43" s="20">
        <f t="shared" si="8"/>
        <v>237.33333333333334</v>
      </c>
      <c r="R43" s="59"/>
      <c r="S43" s="60"/>
      <c r="T43" s="16"/>
      <c r="U43" s="16"/>
      <c r="V43" s="16"/>
      <c r="W43" s="62">
        <f t="shared" si="12"/>
        <v>0</v>
      </c>
      <c r="X43" s="62">
        <f t="shared" si="12"/>
        <v>0</v>
      </c>
      <c r="Y43" s="63">
        <f t="shared" si="13"/>
        <v>0</v>
      </c>
      <c r="AA43" s="64">
        <v>11000</v>
      </c>
      <c r="AB43" s="64">
        <v>6548.46</v>
      </c>
    </row>
    <row r="44" spans="1:28" s="21" customFormat="1" ht="21">
      <c r="A44" s="16" t="s">
        <v>121</v>
      </c>
      <c r="B44" s="36">
        <v>500</v>
      </c>
      <c r="C44" s="16">
        <v>315</v>
      </c>
      <c r="D44" s="16">
        <v>318</v>
      </c>
      <c r="E44" s="94">
        <f t="shared" si="10"/>
        <v>633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f t="shared" si="11"/>
        <v>315</v>
      </c>
      <c r="O44" s="58">
        <f t="shared" si="11"/>
        <v>318</v>
      </c>
      <c r="P44" s="16">
        <f t="shared" si="14"/>
        <v>633</v>
      </c>
      <c r="Q44" s="20">
        <f t="shared" si="8"/>
        <v>126.6</v>
      </c>
      <c r="R44" s="59"/>
      <c r="S44" s="60"/>
      <c r="T44" s="16"/>
      <c r="U44" s="16"/>
      <c r="V44" s="16"/>
      <c r="W44" s="62">
        <f t="shared" si="12"/>
        <v>0</v>
      </c>
      <c r="X44" s="62">
        <f t="shared" si="12"/>
        <v>0</v>
      </c>
      <c r="Y44" s="63">
        <f t="shared" si="13"/>
        <v>0</v>
      </c>
      <c r="AA44" s="64">
        <v>12000</v>
      </c>
      <c r="AB44" s="64">
        <v>11956</v>
      </c>
    </row>
    <row r="45" spans="1:28" s="21" customFormat="1" ht="42">
      <c r="A45" s="23" t="s">
        <v>122</v>
      </c>
      <c r="B45" s="36">
        <v>2000</v>
      </c>
      <c r="C45" s="16">
        <f>42+14+60+96+326+326+267+229+161+95</f>
        <v>1616</v>
      </c>
      <c r="D45" s="16">
        <f>53+21+82+91+326+326+290+251+120+115</f>
        <v>1675</v>
      </c>
      <c r="E45" s="94">
        <f t="shared" si="10"/>
        <v>3291</v>
      </c>
      <c r="F45" s="58">
        <v>45</v>
      </c>
      <c r="G45" s="58">
        <v>62</v>
      </c>
      <c r="H45" s="58">
        <v>35</v>
      </c>
      <c r="I45" s="58">
        <v>38</v>
      </c>
      <c r="J45" s="58">
        <v>33</v>
      </c>
      <c r="K45" s="58">
        <v>40</v>
      </c>
      <c r="L45" s="58">
        <v>17</v>
      </c>
      <c r="M45" s="58">
        <v>19</v>
      </c>
      <c r="N45" s="58">
        <f t="shared" si="11"/>
        <v>1746</v>
      </c>
      <c r="O45" s="58">
        <f t="shared" si="11"/>
        <v>1834</v>
      </c>
      <c r="P45" s="16">
        <f t="shared" si="14"/>
        <v>3580</v>
      </c>
      <c r="Q45" s="20">
        <f t="shared" si="8"/>
        <v>179</v>
      </c>
      <c r="R45" s="59"/>
      <c r="S45" s="60"/>
      <c r="T45" s="16"/>
      <c r="U45" s="16"/>
      <c r="V45" s="16"/>
      <c r="W45" s="62">
        <f t="shared" si="12"/>
        <v>130</v>
      </c>
      <c r="X45" s="62">
        <f t="shared" si="12"/>
        <v>159</v>
      </c>
      <c r="Y45" s="63">
        <f t="shared" si="13"/>
        <v>289</v>
      </c>
      <c r="AA45" s="64">
        <v>20000</v>
      </c>
      <c r="AB45" s="64">
        <v>20000</v>
      </c>
    </row>
    <row r="46" spans="1:28" s="21" customFormat="1" ht="21">
      <c r="A46" s="16" t="s">
        <v>123</v>
      </c>
      <c r="B46" s="36">
        <v>500</v>
      </c>
      <c r="C46" s="16">
        <f>33+36+35+36+85+85+97+95+86+119+65</f>
        <v>772</v>
      </c>
      <c r="D46" s="16">
        <f>33+45+46+45+125+125+114+108+86+86+79</f>
        <v>892</v>
      </c>
      <c r="E46" s="94">
        <f t="shared" si="10"/>
        <v>1664</v>
      </c>
      <c r="F46" s="58">
        <v>21</v>
      </c>
      <c r="G46" s="58">
        <v>19</v>
      </c>
      <c r="H46" s="58">
        <v>20</v>
      </c>
      <c r="I46" s="58">
        <v>20</v>
      </c>
      <c r="J46" s="58">
        <v>14</v>
      </c>
      <c r="K46" s="58">
        <v>22</v>
      </c>
      <c r="L46" s="58">
        <v>10</v>
      </c>
      <c r="M46" s="58">
        <v>7</v>
      </c>
      <c r="N46" s="58">
        <f t="shared" si="11"/>
        <v>837</v>
      </c>
      <c r="O46" s="58">
        <f t="shared" si="11"/>
        <v>960</v>
      </c>
      <c r="P46" s="16">
        <f t="shared" si="14"/>
        <v>1797</v>
      </c>
      <c r="Q46" s="20">
        <f t="shared" si="8"/>
        <v>359.4</v>
      </c>
      <c r="R46" s="59"/>
      <c r="S46" s="60"/>
      <c r="T46" s="16"/>
      <c r="U46" s="16"/>
      <c r="V46" s="16"/>
      <c r="W46" s="62">
        <f t="shared" si="12"/>
        <v>65</v>
      </c>
      <c r="X46" s="62">
        <f t="shared" si="12"/>
        <v>68</v>
      </c>
      <c r="Y46" s="63">
        <f t="shared" si="13"/>
        <v>133</v>
      </c>
      <c r="AA46" s="64">
        <v>50000</v>
      </c>
      <c r="AB46" s="64">
        <v>50000</v>
      </c>
    </row>
    <row r="47" spans="1:28" s="21" customFormat="1" ht="21">
      <c r="A47" s="16" t="s">
        <v>124</v>
      </c>
      <c r="B47" s="59">
        <v>2000</v>
      </c>
      <c r="C47" s="16">
        <f>63+46+101+72+74+74+92+149+112+60+108</f>
        <v>951</v>
      </c>
      <c r="D47" s="16">
        <f>47+40+111+71+95+95+122+155+108+79+108</f>
        <v>1031</v>
      </c>
      <c r="E47" s="94">
        <f t="shared" si="10"/>
        <v>1982</v>
      </c>
      <c r="F47" s="58">
        <v>30</v>
      </c>
      <c r="G47" s="58">
        <v>22</v>
      </c>
      <c r="H47" s="58">
        <v>35</v>
      </c>
      <c r="I47" s="58">
        <v>42</v>
      </c>
      <c r="J47" s="58">
        <v>45</v>
      </c>
      <c r="K47" s="58">
        <v>33</v>
      </c>
      <c r="L47" s="58">
        <v>25</v>
      </c>
      <c r="M47" s="58">
        <v>29</v>
      </c>
      <c r="N47" s="58">
        <f t="shared" si="11"/>
        <v>1086</v>
      </c>
      <c r="O47" s="58">
        <f t="shared" si="11"/>
        <v>1157</v>
      </c>
      <c r="P47" s="16">
        <f t="shared" si="14"/>
        <v>2243</v>
      </c>
      <c r="Q47" s="20">
        <f t="shared" si="8"/>
        <v>112.15</v>
      </c>
      <c r="R47" s="59"/>
      <c r="S47" s="60"/>
      <c r="T47" s="16"/>
      <c r="U47" s="16"/>
      <c r="V47" s="16"/>
      <c r="W47" s="62">
        <f t="shared" si="12"/>
        <v>135</v>
      </c>
      <c r="X47" s="62">
        <f t="shared" si="12"/>
        <v>126</v>
      </c>
      <c r="Y47" s="63">
        <f t="shared" si="13"/>
        <v>261</v>
      </c>
      <c r="AA47" s="64">
        <v>138980</v>
      </c>
      <c r="AB47" s="64">
        <v>138980</v>
      </c>
    </row>
    <row r="48" spans="1:28" s="21" customFormat="1" ht="42">
      <c r="A48" s="23" t="s">
        <v>125</v>
      </c>
      <c r="B48" s="59">
        <v>1000</v>
      </c>
      <c r="C48" s="16">
        <f>156+151+103+89+80+80+91+108+98+98+89</f>
        <v>1143</v>
      </c>
      <c r="D48" s="16">
        <f>204+158+100+93+56+56+64+83+103+103+82</f>
        <v>1102</v>
      </c>
      <c r="E48" s="94">
        <f t="shared" si="10"/>
        <v>2245</v>
      </c>
      <c r="F48" s="58">
        <v>13</v>
      </c>
      <c r="G48" s="58">
        <v>15</v>
      </c>
      <c r="H48" s="58">
        <v>36</v>
      </c>
      <c r="I48" s="58">
        <v>25</v>
      </c>
      <c r="J48" s="58">
        <v>23</v>
      </c>
      <c r="K48" s="58">
        <v>26</v>
      </c>
      <c r="L48" s="58">
        <v>25</v>
      </c>
      <c r="M48" s="58">
        <v>13</v>
      </c>
      <c r="N48" s="58">
        <f t="shared" si="11"/>
        <v>1240</v>
      </c>
      <c r="O48" s="58">
        <f t="shared" si="11"/>
        <v>1181</v>
      </c>
      <c r="P48" s="16">
        <f t="shared" si="14"/>
        <v>2421</v>
      </c>
      <c r="Q48" s="20">
        <f t="shared" si="8"/>
        <v>242.1</v>
      </c>
      <c r="R48" s="59"/>
      <c r="S48" s="60"/>
      <c r="T48" s="16"/>
      <c r="U48" s="16"/>
      <c r="V48" s="16"/>
      <c r="W48" s="62">
        <f t="shared" si="12"/>
        <v>97</v>
      </c>
      <c r="X48" s="62">
        <f t="shared" si="12"/>
        <v>79</v>
      </c>
      <c r="Y48" s="63">
        <f t="shared" si="13"/>
        <v>176</v>
      </c>
      <c r="AA48" s="64">
        <v>6000</v>
      </c>
      <c r="AB48" s="64">
        <v>6000</v>
      </c>
    </row>
    <row r="49" spans="1:28" s="21" customFormat="1" ht="21">
      <c r="A49" s="16" t="s">
        <v>126</v>
      </c>
      <c r="B49" s="59">
        <v>3000</v>
      </c>
      <c r="C49" s="16">
        <f>163+125+133+119+248+248+221+264+269+244+208</f>
        <v>2242</v>
      </c>
      <c r="D49" s="16">
        <f>143+179+124+86+223+223+235+267+247+237+270</f>
        <v>2234</v>
      </c>
      <c r="E49" s="94">
        <f t="shared" si="10"/>
        <v>4476</v>
      </c>
      <c r="F49" s="58">
        <v>111</v>
      </c>
      <c r="G49" s="58">
        <v>102</v>
      </c>
      <c r="H49" s="58">
        <v>113</v>
      </c>
      <c r="I49" s="58">
        <v>123</v>
      </c>
      <c r="J49" s="58">
        <v>26</v>
      </c>
      <c r="K49" s="58">
        <v>35</v>
      </c>
      <c r="L49" s="58">
        <v>11</v>
      </c>
      <c r="M49" s="58">
        <v>14</v>
      </c>
      <c r="N49" s="58">
        <f t="shared" si="11"/>
        <v>2503</v>
      </c>
      <c r="O49" s="58">
        <f t="shared" si="11"/>
        <v>2508</v>
      </c>
      <c r="P49" s="16">
        <f t="shared" si="14"/>
        <v>5011</v>
      </c>
      <c r="Q49" s="20">
        <f t="shared" si="8"/>
        <v>167.03333333333333</v>
      </c>
      <c r="R49" s="59"/>
      <c r="S49" s="60"/>
      <c r="T49" s="16"/>
      <c r="U49" s="16"/>
      <c r="V49" s="16"/>
      <c r="W49" s="62">
        <f t="shared" si="12"/>
        <v>261</v>
      </c>
      <c r="X49" s="62">
        <f t="shared" si="12"/>
        <v>274</v>
      </c>
      <c r="Y49" s="63">
        <f t="shared" si="13"/>
        <v>535</v>
      </c>
      <c r="AA49" s="64">
        <f>SUM(AA39:AA48)</f>
        <v>274280</v>
      </c>
      <c r="AB49" s="64">
        <f>SUM(AB39:AB48)</f>
        <v>269556.04000000004</v>
      </c>
    </row>
    <row r="50" spans="1:28" s="21" customFormat="1" ht="21">
      <c r="A50" s="16" t="s">
        <v>127</v>
      </c>
      <c r="B50" s="59">
        <v>3000</v>
      </c>
      <c r="C50" s="16">
        <f>54+39+42+48+56+56+60+67+74+73+74</f>
        <v>643</v>
      </c>
      <c r="D50" s="16">
        <f>57+50+42+41+55+55+60+83+85+73+76</f>
        <v>677</v>
      </c>
      <c r="E50" s="94">
        <f t="shared" si="10"/>
        <v>1320</v>
      </c>
      <c r="F50" s="58">
        <v>22</v>
      </c>
      <c r="G50" s="58">
        <v>25</v>
      </c>
      <c r="H50" s="58">
        <v>26</v>
      </c>
      <c r="I50" s="58">
        <v>28</v>
      </c>
      <c r="J50" s="58">
        <v>17</v>
      </c>
      <c r="K50" s="58">
        <v>14</v>
      </c>
      <c r="L50" s="58">
        <v>10</v>
      </c>
      <c r="M50" s="58">
        <v>15</v>
      </c>
      <c r="N50" s="58">
        <f t="shared" si="11"/>
        <v>718</v>
      </c>
      <c r="O50" s="58">
        <f t="shared" si="11"/>
        <v>759</v>
      </c>
      <c r="P50" s="16">
        <f t="shared" si="14"/>
        <v>1477</v>
      </c>
      <c r="Q50" s="20">
        <f t="shared" si="8"/>
        <v>49.233333333333334</v>
      </c>
      <c r="R50" s="59"/>
      <c r="S50" s="60"/>
      <c r="T50" s="16"/>
      <c r="U50" s="16"/>
      <c r="V50" s="16"/>
      <c r="W50" s="62">
        <f t="shared" si="12"/>
        <v>75</v>
      </c>
      <c r="X50" s="62">
        <f t="shared" si="12"/>
        <v>82</v>
      </c>
      <c r="Y50" s="63">
        <f t="shared" si="13"/>
        <v>157</v>
      </c>
      <c r="AA50" s="64"/>
      <c r="AB50" s="64" t="s">
        <v>128</v>
      </c>
    </row>
    <row r="51" spans="1:28" s="21" customFormat="1" ht="21">
      <c r="A51" s="16" t="s">
        <v>129</v>
      </c>
      <c r="B51" s="59">
        <v>2000</v>
      </c>
      <c r="C51" s="16">
        <f>67+69+73+54+54+79+111+125+77+101</f>
        <v>810</v>
      </c>
      <c r="D51" s="16">
        <f>87+85+63+52+52+89+104+83+59+99</f>
        <v>773</v>
      </c>
      <c r="E51" s="94">
        <f t="shared" si="10"/>
        <v>1583</v>
      </c>
      <c r="F51" s="58">
        <v>25</v>
      </c>
      <c r="G51" s="58">
        <v>20</v>
      </c>
      <c r="H51" s="58">
        <v>66</v>
      </c>
      <c r="I51" s="58">
        <v>42</v>
      </c>
      <c r="J51" s="58">
        <v>33</v>
      </c>
      <c r="K51" s="58">
        <v>39</v>
      </c>
      <c r="L51" s="58">
        <v>12</v>
      </c>
      <c r="M51" s="58">
        <v>11</v>
      </c>
      <c r="N51" s="58">
        <f t="shared" si="11"/>
        <v>946</v>
      </c>
      <c r="O51" s="58">
        <f t="shared" si="11"/>
        <v>885</v>
      </c>
      <c r="P51" s="16">
        <f t="shared" si="14"/>
        <v>1831</v>
      </c>
      <c r="Q51" s="20">
        <f t="shared" si="8"/>
        <v>91.55</v>
      </c>
      <c r="R51" s="59"/>
      <c r="S51" s="60"/>
      <c r="T51" s="16"/>
      <c r="U51" s="16"/>
      <c r="V51" s="16"/>
      <c r="W51" s="62">
        <f t="shared" si="12"/>
        <v>136</v>
      </c>
      <c r="X51" s="62">
        <f t="shared" si="12"/>
        <v>112</v>
      </c>
      <c r="Y51" s="63">
        <f t="shared" si="13"/>
        <v>248</v>
      </c>
      <c r="AA51" s="64"/>
      <c r="AB51" s="64"/>
    </row>
    <row r="52" spans="1:28" s="21" customFormat="1" ht="21">
      <c r="A52" s="16" t="s">
        <v>130</v>
      </c>
      <c r="B52" s="59">
        <v>1200</v>
      </c>
      <c r="C52" s="16">
        <f>48+150+183</f>
        <v>381</v>
      </c>
      <c r="D52" s="16">
        <f>65+173+146</f>
        <v>384</v>
      </c>
      <c r="E52" s="94">
        <f t="shared" si="10"/>
        <v>765</v>
      </c>
      <c r="F52" s="58">
        <v>23</v>
      </c>
      <c r="G52" s="58">
        <v>25</v>
      </c>
      <c r="H52" s="58">
        <v>34</v>
      </c>
      <c r="I52" s="58">
        <v>54</v>
      </c>
      <c r="J52" s="58">
        <v>28</v>
      </c>
      <c r="K52" s="58">
        <v>31</v>
      </c>
      <c r="L52" s="58">
        <v>15</v>
      </c>
      <c r="M52" s="58">
        <v>19</v>
      </c>
      <c r="N52" s="58">
        <f t="shared" si="11"/>
        <v>481</v>
      </c>
      <c r="O52" s="58">
        <f t="shared" si="11"/>
        <v>513</v>
      </c>
      <c r="P52" s="16">
        <f t="shared" si="14"/>
        <v>994</v>
      </c>
      <c r="Q52" s="20">
        <f t="shared" si="8"/>
        <v>82.83333333333333</v>
      </c>
      <c r="R52" s="59"/>
      <c r="S52" s="60"/>
      <c r="T52" s="16"/>
      <c r="U52" s="16"/>
      <c r="V52" s="16"/>
      <c r="W52" s="62">
        <f t="shared" si="12"/>
        <v>100</v>
      </c>
      <c r="X52" s="62">
        <f t="shared" si="12"/>
        <v>129</v>
      </c>
      <c r="Y52" s="63">
        <f t="shared" si="13"/>
        <v>229</v>
      </c>
      <c r="AA52" s="64"/>
      <c r="AB52" s="64"/>
    </row>
    <row r="53" spans="1:28" s="21" customFormat="1" ht="42">
      <c r="A53" s="23" t="s">
        <v>131</v>
      </c>
      <c r="B53" s="59">
        <v>3800</v>
      </c>
      <c r="C53" s="16">
        <f>163+36+74+53+489+488+488+490+352</f>
        <v>2633</v>
      </c>
      <c r="D53" s="16">
        <f>129+54+66+53+537+487+487+456+346</f>
        <v>2615</v>
      </c>
      <c r="E53" s="94">
        <f t="shared" si="10"/>
        <v>5248</v>
      </c>
      <c r="F53" s="58">
        <v>88</v>
      </c>
      <c r="G53" s="58">
        <v>92</v>
      </c>
      <c r="H53" s="58">
        <v>102</v>
      </c>
      <c r="I53" s="58">
        <v>103</v>
      </c>
      <c r="J53" s="58">
        <v>98</v>
      </c>
      <c r="K53" s="58">
        <v>87</v>
      </c>
      <c r="L53" s="58">
        <v>23</v>
      </c>
      <c r="M53" s="58">
        <v>14</v>
      </c>
      <c r="N53" s="58">
        <f t="shared" si="11"/>
        <v>2944</v>
      </c>
      <c r="O53" s="58">
        <f t="shared" si="11"/>
        <v>2911</v>
      </c>
      <c r="P53" s="16">
        <f t="shared" si="14"/>
        <v>5855</v>
      </c>
      <c r="Q53" s="20">
        <f t="shared" si="8"/>
        <v>154.07894736842104</v>
      </c>
      <c r="R53" s="59"/>
      <c r="S53" s="60"/>
      <c r="T53" s="16"/>
      <c r="U53" s="16"/>
      <c r="V53" s="16"/>
      <c r="W53" s="62">
        <f t="shared" si="12"/>
        <v>311</v>
      </c>
      <c r="X53" s="62">
        <f t="shared" si="12"/>
        <v>296</v>
      </c>
      <c r="Y53" s="63">
        <f t="shared" si="13"/>
        <v>607</v>
      </c>
      <c r="AA53" s="64"/>
      <c r="AB53" s="64"/>
    </row>
    <row r="54" spans="1:28" s="21" customFormat="1" ht="21">
      <c r="A54" s="36" t="s">
        <v>70</v>
      </c>
      <c r="B54" s="36"/>
      <c r="C54" s="16"/>
      <c r="D54" s="16"/>
      <c r="E54" s="16">
        <f t="shared" si="10"/>
        <v>0</v>
      </c>
      <c r="F54" s="16"/>
      <c r="G54" s="16"/>
      <c r="H54" s="16"/>
      <c r="I54" s="16"/>
      <c r="J54" s="16"/>
      <c r="K54" s="16"/>
      <c r="L54" s="16"/>
      <c r="M54" s="16"/>
      <c r="N54" s="16">
        <f>F54+H54+J54+L54</f>
        <v>0</v>
      </c>
      <c r="O54" s="16">
        <f>G54+I54+K54+M54</f>
        <v>0</v>
      </c>
      <c r="P54" s="16">
        <f t="shared" si="14"/>
        <v>0</v>
      </c>
      <c r="Q54" s="20" t="s">
        <v>109</v>
      </c>
      <c r="R54" s="59"/>
      <c r="S54" s="60"/>
      <c r="T54" s="29"/>
      <c r="U54" s="29"/>
      <c r="V54" s="16"/>
      <c r="W54" s="62">
        <f t="shared" si="12"/>
        <v>0</v>
      </c>
      <c r="X54" s="62">
        <f t="shared" si="12"/>
        <v>0</v>
      </c>
      <c r="Y54" s="63">
        <f t="shared" si="13"/>
        <v>0</v>
      </c>
      <c r="AA54" s="64"/>
      <c r="AB54" s="64"/>
    </row>
    <row r="55" spans="1:28" s="103" customFormat="1" ht="42">
      <c r="A55" s="95" t="s">
        <v>132</v>
      </c>
      <c r="B55" s="96">
        <v>4800</v>
      </c>
      <c r="C55" s="97">
        <f>SUM(C56:C63)</f>
        <v>2083</v>
      </c>
      <c r="D55" s="97">
        <f>SUM(D56:D63)</f>
        <v>2581</v>
      </c>
      <c r="E55" s="97">
        <f t="shared" si="10"/>
        <v>4664</v>
      </c>
      <c r="F55" s="98">
        <f>F56+F57+F58+F59+F60+F61+F62+F63</f>
        <v>18</v>
      </c>
      <c r="G55" s="98">
        <f aca="true" t="shared" si="15" ref="G55:M55">G56+G57+G58+G59+G60+G61+G62+G63</f>
        <v>19</v>
      </c>
      <c r="H55" s="98">
        <f t="shared" si="15"/>
        <v>198</v>
      </c>
      <c r="I55" s="98">
        <f t="shared" si="15"/>
        <v>143</v>
      </c>
      <c r="J55" s="98">
        <f t="shared" si="15"/>
        <v>30</v>
      </c>
      <c r="K55" s="98">
        <f t="shared" si="15"/>
        <v>46</v>
      </c>
      <c r="L55" s="98">
        <f t="shared" si="15"/>
        <v>0</v>
      </c>
      <c r="M55" s="98">
        <f t="shared" si="15"/>
        <v>1</v>
      </c>
      <c r="N55" s="98">
        <f>C55+F55+H55+J55+L55</f>
        <v>2329</v>
      </c>
      <c r="O55" s="98">
        <f>D55+G55+I55+K55+M55</f>
        <v>2790</v>
      </c>
      <c r="P55" s="98">
        <f>N55+O55</f>
        <v>5119</v>
      </c>
      <c r="Q55" s="99" t="s">
        <v>109</v>
      </c>
      <c r="R55" s="96">
        <v>39150</v>
      </c>
      <c r="S55" s="100">
        <f>7350+4650+4200+4650+4500+9150+4650</f>
        <v>39150</v>
      </c>
      <c r="T55" s="101">
        <v>0</v>
      </c>
      <c r="U55" s="101">
        <f>S55+T55</f>
        <v>39150</v>
      </c>
      <c r="V55" s="102">
        <f>U55*100/R55</f>
        <v>100</v>
      </c>
      <c r="W55" s="63">
        <f t="shared" si="12"/>
        <v>246</v>
      </c>
      <c r="X55" s="63">
        <f t="shared" si="12"/>
        <v>209</v>
      </c>
      <c r="Y55" s="63">
        <f t="shared" si="13"/>
        <v>455</v>
      </c>
      <c r="AA55" s="104"/>
      <c r="AB55" s="104"/>
    </row>
    <row r="56" spans="1:28" s="21" customFormat="1" ht="21">
      <c r="A56" s="16" t="s">
        <v>133</v>
      </c>
      <c r="B56" s="36"/>
      <c r="C56" s="16">
        <f>79+95+2+29</f>
        <v>205</v>
      </c>
      <c r="D56" s="16">
        <f>77+93+32</f>
        <v>202</v>
      </c>
      <c r="E56" s="16">
        <f t="shared" si="10"/>
        <v>407</v>
      </c>
      <c r="F56" s="58">
        <v>2</v>
      </c>
      <c r="G56" s="58">
        <v>1</v>
      </c>
      <c r="H56" s="58">
        <v>34</v>
      </c>
      <c r="I56" s="58">
        <v>18</v>
      </c>
      <c r="J56" s="58">
        <v>23</v>
      </c>
      <c r="K56" s="58">
        <v>21</v>
      </c>
      <c r="L56" s="58">
        <v>0</v>
      </c>
      <c r="M56" s="58">
        <v>1</v>
      </c>
      <c r="N56" s="58">
        <f>F56+H56+J56+L56+C56</f>
        <v>264</v>
      </c>
      <c r="O56" s="58">
        <f aca="true" t="shared" si="16" ref="O56:O64">G56+I56+K56+M56+D56</f>
        <v>243</v>
      </c>
      <c r="P56" s="16">
        <f t="shared" si="14"/>
        <v>507</v>
      </c>
      <c r="Q56" s="20" t="s">
        <v>109</v>
      </c>
      <c r="R56" s="59"/>
      <c r="S56" s="60"/>
      <c r="T56" s="29"/>
      <c r="U56" s="29"/>
      <c r="V56" s="16"/>
      <c r="W56" s="62">
        <f aca="true" t="shared" si="17" ref="W56:X63">F56+H56+J56+L56</f>
        <v>59</v>
      </c>
      <c r="X56" s="62">
        <f t="shared" si="17"/>
        <v>41</v>
      </c>
      <c r="Y56" s="63">
        <f t="shared" si="13"/>
        <v>100</v>
      </c>
      <c r="AA56" s="64"/>
      <c r="AB56" s="64"/>
    </row>
    <row r="57" spans="1:28" s="21" customFormat="1" ht="42">
      <c r="A57" s="23" t="s">
        <v>134</v>
      </c>
      <c r="B57" s="36"/>
      <c r="C57" s="16">
        <f>167+10+83</f>
        <v>260</v>
      </c>
      <c r="D57" s="16">
        <f>208+24+78</f>
        <v>310</v>
      </c>
      <c r="E57" s="16">
        <f t="shared" si="10"/>
        <v>570</v>
      </c>
      <c r="F57" s="58">
        <v>2</v>
      </c>
      <c r="G57" s="58">
        <v>1</v>
      </c>
      <c r="H57" s="58">
        <v>23</v>
      </c>
      <c r="I57" s="58">
        <v>14</v>
      </c>
      <c r="J57" s="58">
        <v>0</v>
      </c>
      <c r="K57" s="58">
        <v>0</v>
      </c>
      <c r="L57" s="58">
        <v>0</v>
      </c>
      <c r="M57" s="58">
        <v>0</v>
      </c>
      <c r="N57" s="58">
        <f aca="true" t="shared" si="18" ref="N57:N64">F57+H57+J57+L57+C57</f>
        <v>285</v>
      </c>
      <c r="O57" s="58">
        <f t="shared" si="16"/>
        <v>325</v>
      </c>
      <c r="P57" s="16">
        <f t="shared" si="14"/>
        <v>610</v>
      </c>
      <c r="Q57" s="20" t="s">
        <v>109</v>
      </c>
      <c r="R57" s="59"/>
      <c r="S57" s="60"/>
      <c r="T57" s="29"/>
      <c r="U57" s="29"/>
      <c r="V57" s="16"/>
      <c r="W57" s="62">
        <f t="shared" si="17"/>
        <v>25</v>
      </c>
      <c r="X57" s="62">
        <f t="shared" si="17"/>
        <v>15</v>
      </c>
      <c r="Y57" s="63">
        <f t="shared" si="13"/>
        <v>40</v>
      </c>
      <c r="AA57" s="64"/>
      <c r="AB57" s="64"/>
    </row>
    <row r="58" spans="1:28" s="21" customFormat="1" ht="42">
      <c r="A58" s="23" t="s">
        <v>135</v>
      </c>
      <c r="B58" s="36"/>
      <c r="C58" s="16">
        <v>241</v>
      </c>
      <c r="D58" s="16">
        <v>258</v>
      </c>
      <c r="E58" s="16">
        <f t="shared" si="10"/>
        <v>499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f t="shared" si="18"/>
        <v>241</v>
      </c>
      <c r="O58" s="58">
        <f t="shared" si="16"/>
        <v>258</v>
      </c>
      <c r="P58" s="16">
        <f t="shared" si="14"/>
        <v>499</v>
      </c>
      <c r="Q58" s="20" t="s">
        <v>109</v>
      </c>
      <c r="R58" s="59"/>
      <c r="S58" s="60"/>
      <c r="T58" s="29"/>
      <c r="U58" s="29"/>
      <c r="V58" s="16"/>
      <c r="W58" s="62">
        <f t="shared" si="17"/>
        <v>0</v>
      </c>
      <c r="X58" s="62">
        <f t="shared" si="17"/>
        <v>0</v>
      </c>
      <c r="Y58" s="63">
        <f t="shared" si="13"/>
        <v>0</v>
      </c>
      <c r="AA58" s="64"/>
      <c r="AB58" s="64"/>
    </row>
    <row r="59" spans="1:28" s="21" customFormat="1" ht="42">
      <c r="A59" s="23" t="s">
        <v>136</v>
      </c>
      <c r="B59" s="36"/>
      <c r="C59" s="16">
        <f>232+11+5</f>
        <v>248</v>
      </c>
      <c r="D59" s="16">
        <f>252+15+5+92+104</f>
        <v>468</v>
      </c>
      <c r="E59" s="16">
        <f t="shared" si="10"/>
        <v>716</v>
      </c>
      <c r="F59" s="58">
        <v>0</v>
      </c>
      <c r="G59" s="58">
        <v>0</v>
      </c>
      <c r="H59" s="58">
        <v>15</v>
      </c>
      <c r="I59" s="58">
        <v>15</v>
      </c>
      <c r="J59" s="58">
        <v>0</v>
      </c>
      <c r="K59" s="58">
        <v>0</v>
      </c>
      <c r="L59" s="58">
        <v>0</v>
      </c>
      <c r="M59" s="58">
        <v>0</v>
      </c>
      <c r="N59" s="58">
        <f t="shared" si="18"/>
        <v>263</v>
      </c>
      <c r="O59" s="58">
        <f t="shared" si="16"/>
        <v>483</v>
      </c>
      <c r="P59" s="16">
        <f t="shared" si="14"/>
        <v>746</v>
      </c>
      <c r="Q59" s="20" t="s">
        <v>109</v>
      </c>
      <c r="R59" s="59"/>
      <c r="S59" s="60"/>
      <c r="T59" s="29"/>
      <c r="U59" s="29"/>
      <c r="V59" s="16"/>
      <c r="W59" s="62">
        <f t="shared" si="17"/>
        <v>15</v>
      </c>
      <c r="X59" s="62">
        <f t="shared" si="17"/>
        <v>15</v>
      </c>
      <c r="Y59" s="63">
        <f t="shared" si="13"/>
        <v>30</v>
      </c>
      <c r="AA59" s="64"/>
      <c r="AB59" s="64"/>
    </row>
    <row r="60" spans="1:28" s="21" customFormat="1" ht="21">
      <c r="A60" s="16" t="s">
        <v>137</v>
      </c>
      <c r="B60" s="36"/>
      <c r="C60" s="16">
        <f>75+88+2+33</f>
        <v>198</v>
      </c>
      <c r="D60" s="16">
        <f>71+109+1+29</f>
        <v>210</v>
      </c>
      <c r="E60" s="16">
        <f t="shared" si="10"/>
        <v>408</v>
      </c>
      <c r="F60" s="58">
        <v>2</v>
      </c>
      <c r="G60" s="58">
        <v>1</v>
      </c>
      <c r="H60" s="58">
        <v>35</v>
      </c>
      <c r="I60" s="58">
        <v>27</v>
      </c>
      <c r="J60" s="58">
        <v>0</v>
      </c>
      <c r="K60" s="58">
        <v>0</v>
      </c>
      <c r="L60" s="58">
        <v>0</v>
      </c>
      <c r="M60" s="58">
        <v>0</v>
      </c>
      <c r="N60" s="58">
        <f t="shared" si="18"/>
        <v>235</v>
      </c>
      <c r="O60" s="58">
        <f t="shared" si="16"/>
        <v>238</v>
      </c>
      <c r="P60" s="16">
        <f t="shared" si="14"/>
        <v>473</v>
      </c>
      <c r="Q60" s="20" t="s">
        <v>109</v>
      </c>
      <c r="R60" s="59"/>
      <c r="S60" s="60"/>
      <c r="T60" s="29"/>
      <c r="U60" s="29"/>
      <c r="V60" s="16"/>
      <c r="W60" s="62">
        <f t="shared" si="17"/>
        <v>37</v>
      </c>
      <c r="X60" s="62">
        <f t="shared" si="17"/>
        <v>28</v>
      </c>
      <c r="Y60" s="63">
        <f t="shared" si="13"/>
        <v>65</v>
      </c>
      <c r="AA60" s="64"/>
      <c r="AB60" s="64"/>
    </row>
    <row r="61" spans="1:28" s="21" customFormat="1" ht="42">
      <c r="A61" s="23" t="s">
        <v>138</v>
      </c>
      <c r="B61" s="36"/>
      <c r="C61" s="16">
        <f>255+16</f>
        <v>271</v>
      </c>
      <c r="D61" s="16">
        <f>245+8</f>
        <v>253</v>
      </c>
      <c r="E61" s="16">
        <f t="shared" si="10"/>
        <v>524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f t="shared" si="18"/>
        <v>271</v>
      </c>
      <c r="O61" s="58">
        <f t="shared" si="16"/>
        <v>253</v>
      </c>
      <c r="P61" s="16">
        <f t="shared" si="14"/>
        <v>524</v>
      </c>
      <c r="Q61" s="20" t="s">
        <v>109</v>
      </c>
      <c r="R61" s="59"/>
      <c r="S61" s="60"/>
      <c r="T61" s="29"/>
      <c r="U61" s="29"/>
      <c r="V61" s="16"/>
      <c r="W61" s="62">
        <f t="shared" si="17"/>
        <v>0</v>
      </c>
      <c r="X61" s="62">
        <f t="shared" si="17"/>
        <v>0</v>
      </c>
      <c r="Y61" s="63">
        <f t="shared" si="13"/>
        <v>0</v>
      </c>
      <c r="AA61" s="64"/>
      <c r="AB61" s="64"/>
    </row>
    <row r="62" spans="1:28" s="21" customFormat="1" ht="21">
      <c r="A62" s="16" t="s">
        <v>139</v>
      </c>
      <c r="B62" s="36"/>
      <c r="C62" s="16">
        <f>15+11+94+109</f>
        <v>229</v>
      </c>
      <c r="D62" s="16">
        <f>35+14+137+181</f>
        <v>367</v>
      </c>
      <c r="E62" s="16">
        <f t="shared" si="10"/>
        <v>596</v>
      </c>
      <c r="F62" s="58">
        <v>2</v>
      </c>
      <c r="G62" s="58">
        <v>1</v>
      </c>
      <c r="H62" s="58">
        <v>42</v>
      </c>
      <c r="I62" s="58">
        <v>32</v>
      </c>
      <c r="J62" s="58">
        <v>5</v>
      </c>
      <c r="K62" s="58">
        <v>23</v>
      </c>
      <c r="L62" s="58">
        <v>0</v>
      </c>
      <c r="M62" s="58">
        <v>0</v>
      </c>
      <c r="N62" s="58">
        <f t="shared" si="18"/>
        <v>278</v>
      </c>
      <c r="O62" s="58">
        <f t="shared" si="16"/>
        <v>423</v>
      </c>
      <c r="P62" s="16">
        <f t="shared" si="14"/>
        <v>701</v>
      </c>
      <c r="Q62" s="20" t="s">
        <v>109</v>
      </c>
      <c r="R62" s="59"/>
      <c r="S62" s="60"/>
      <c r="T62" s="29"/>
      <c r="U62" s="29"/>
      <c r="V62" s="16"/>
      <c r="W62" s="62">
        <f t="shared" si="17"/>
        <v>49</v>
      </c>
      <c r="X62" s="62">
        <f t="shared" si="17"/>
        <v>56</v>
      </c>
      <c r="Y62" s="63">
        <f t="shared" si="13"/>
        <v>105</v>
      </c>
      <c r="AA62" s="64"/>
      <c r="AB62" s="64"/>
    </row>
    <row r="63" spans="1:28" s="21" customFormat="1" ht="21">
      <c r="A63" s="16" t="s">
        <v>140</v>
      </c>
      <c r="B63" s="36"/>
      <c r="C63" s="16">
        <f>176+18+2+115+65+55</f>
        <v>431</v>
      </c>
      <c r="D63" s="16">
        <f>262+15+3+95+97+41</f>
        <v>513</v>
      </c>
      <c r="E63" s="16">
        <f t="shared" si="10"/>
        <v>944</v>
      </c>
      <c r="F63" s="58">
        <v>10</v>
      </c>
      <c r="G63" s="58">
        <v>15</v>
      </c>
      <c r="H63" s="58">
        <v>49</v>
      </c>
      <c r="I63" s="58">
        <v>37</v>
      </c>
      <c r="J63" s="58">
        <v>2</v>
      </c>
      <c r="K63" s="58">
        <v>2</v>
      </c>
      <c r="L63" s="58">
        <v>0</v>
      </c>
      <c r="M63" s="58">
        <v>0</v>
      </c>
      <c r="N63" s="58">
        <f>F63+H63+J63+L63+C63</f>
        <v>492</v>
      </c>
      <c r="O63" s="58">
        <f t="shared" si="16"/>
        <v>567</v>
      </c>
      <c r="P63" s="16">
        <f t="shared" si="14"/>
        <v>1059</v>
      </c>
      <c r="Q63" s="20" t="s">
        <v>109</v>
      </c>
      <c r="R63" s="59"/>
      <c r="S63" s="60"/>
      <c r="T63" s="29"/>
      <c r="U63" s="29"/>
      <c r="V63" s="16"/>
      <c r="W63" s="62">
        <f t="shared" si="17"/>
        <v>61</v>
      </c>
      <c r="X63" s="62">
        <f t="shared" si="17"/>
        <v>54</v>
      </c>
      <c r="Y63" s="63">
        <f t="shared" si="13"/>
        <v>115</v>
      </c>
      <c r="AA63" s="64"/>
      <c r="AB63" s="64"/>
    </row>
    <row r="64" spans="1:25" ht="21">
      <c r="A64" s="27" t="s">
        <v>141</v>
      </c>
      <c r="B64" s="105">
        <v>43399</v>
      </c>
      <c r="C64" s="27">
        <f>120+367+1289+332+315+388+129+218+9521+1230+7749</f>
        <v>21658</v>
      </c>
      <c r="D64" s="27">
        <f>108+369+1266+299+320+302+99+225+12236+1237+8769</f>
        <v>25230</v>
      </c>
      <c r="E64" s="16">
        <f t="shared" si="10"/>
        <v>46888</v>
      </c>
      <c r="F64" s="58">
        <v>173</v>
      </c>
      <c r="G64" s="58">
        <v>193</v>
      </c>
      <c r="H64" s="58">
        <v>1039</v>
      </c>
      <c r="I64" s="58">
        <v>1382</v>
      </c>
      <c r="J64" s="58">
        <v>689</v>
      </c>
      <c r="K64" s="58">
        <v>503</v>
      </c>
      <c r="L64" s="58">
        <v>269</v>
      </c>
      <c r="M64" s="58">
        <v>216</v>
      </c>
      <c r="N64" s="58">
        <f t="shared" si="18"/>
        <v>23828</v>
      </c>
      <c r="O64" s="58">
        <f t="shared" si="16"/>
        <v>27524</v>
      </c>
      <c r="P64" s="16">
        <f t="shared" si="14"/>
        <v>51352</v>
      </c>
      <c r="Q64" s="20">
        <f>P64*100/B64</f>
        <v>118.3253070347243</v>
      </c>
      <c r="R64" s="66">
        <v>618000</v>
      </c>
      <c r="S64" s="67">
        <f>151200+51600+48000+51600+152400+153600</f>
        <v>608400</v>
      </c>
      <c r="T64" s="68">
        <v>9600</v>
      </c>
      <c r="U64" s="68">
        <f>S64+T64</f>
        <v>618000</v>
      </c>
      <c r="V64" s="106">
        <f>U64*100/R64</f>
        <v>100</v>
      </c>
      <c r="W64" s="62">
        <f>F64+H64+J64+L64</f>
        <v>2170</v>
      </c>
      <c r="X64" s="62">
        <f>G64+I64+K64+M64</f>
        <v>2294</v>
      </c>
      <c r="Y64" s="63">
        <f t="shared" si="13"/>
        <v>4464</v>
      </c>
    </row>
    <row r="65" spans="1:25" ht="84">
      <c r="A65" s="77" t="s">
        <v>142</v>
      </c>
      <c r="B65" s="78"/>
      <c r="C65" s="79"/>
      <c r="D65" s="79"/>
      <c r="E65" s="79">
        <f t="shared" si="10"/>
        <v>0</v>
      </c>
      <c r="F65" s="79"/>
      <c r="G65" s="79"/>
      <c r="H65" s="79"/>
      <c r="I65" s="79"/>
      <c r="J65" s="79"/>
      <c r="K65" s="79"/>
      <c r="L65" s="79"/>
      <c r="M65" s="79"/>
      <c r="N65" s="79">
        <f aca="true" t="shared" si="19" ref="N65:O78">F65+H65+J65+L65</f>
        <v>0</v>
      </c>
      <c r="O65" s="79">
        <f t="shared" si="19"/>
        <v>0</v>
      </c>
      <c r="P65" s="79">
        <f t="shared" si="14"/>
        <v>0</v>
      </c>
      <c r="Q65" s="91" t="s">
        <v>109</v>
      </c>
      <c r="R65" s="80"/>
      <c r="S65" s="81"/>
      <c r="T65" s="82"/>
      <c r="U65" s="82"/>
      <c r="V65" s="79"/>
      <c r="W65" s="62">
        <f aca="true" t="shared" si="20" ref="W65:X80">F65+H65+J65+L65</f>
        <v>0</v>
      </c>
      <c r="X65" s="62">
        <f t="shared" si="20"/>
        <v>0</v>
      </c>
      <c r="Y65" s="63">
        <f t="shared" si="13"/>
        <v>0</v>
      </c>
    </row>
    <row r="66" spans="1:28" s="21" customFormat="1" ht="21">
      <c r="A66" s="36" t="s">
        <v>85</v>
      </c>
      <c r="B66" s="36"/>
      <c r="C66" s="16"/>
      <c r="D66" s="16"/>
      <c r="E66" s="16">
        <f t="shared" si="10"/>
        <v>0</v>
      </c>
      <c r="F66" s="16"/>
      <c r="G66" s="16"/>
      <c r="H66" s="16"/>
      <c r="I66" s="16"/>
      <c r="J66" s="16"/>
      <c r="K66" s="16"/>
      <c r="L66" s="16"/>
      <c r="M66" s="16"/>
      <c r="N66" s="16">
        <f t="shared" si="19"/>
        <v>0</v>
      </c>
      <c r="O66" s="16">
        <f t="shared" si="19"/>
        <v>0</v>
      </c>
      <c r="P66" s="16">
        <f t="shared" si="14"/>
        <v>0</v>
      </c>
      <c r="Q66" s="20" t="s">
        <v>109</v>
      </c>
      <c r="R66" s="59"/>
      <c r="S66" s="60"/>
      <c r="T66" s="29"/>
      <c r="U66" s="29"/>
      <c r="V66" s="16"/>
      <c r="W66" s="62">
        <f t="shared" si="20"/>
        <v>0</v>
      </c>
      <c r="X66" s="62">
        <f t="shared" si="20"/>
        <v>0</v>
      </c>
      <c r="Y66" s="63">
        <f t="shared" si="13"/>
        <v>0</v>
      </c>
      <c r="AA66" s="64"/>
      <c r="AB66" s="64"/>
    </row>
    <row r="67" spans="1:28" s="21" customFormat="1" ht="21">
      <c r="A67" s="36" t="s">
        <v>86</v>
      </c>
      <c r="B67" s="36"/>
      <c r="C67" s="16"/>
      <c r="D67" s="16"/>
      <c r="E67" s="16">
        <f t="shared" si="10"/>
        <v>0</v>
      </c>
      <c r="F67" s="16"/>
      <c r="G67" s="16"/>
      <c r="H67" s="16"/>
      <c r="I67" s="16"/>
      <c r="J67" s="16"/>
      <c r="K67" s="16"/>
      <c r="L67" s="16"/>
      <c r="M67" s="16"/>
      <c r="N67" s="16">
        <f t="shared" si="19"/>
        <v>0</v>
      </c>
      <c r="O67" s="16">
        <f t="shared" si="19"/>
        <v>0</v>
      </c>
      <c r="P67" s="16">
        <f t="shared" si="14"/>
        <v>0</v>
      </c>
      <c r="Q67" s="20" t="s">
        <v>109</v>
      </c>
      <c r="R67" s="59">
        <f>263890+263890</f>
        <v>527780</v>
      </c>
      <c r="S67" s="60">
        <v>263818</v>
      </c>
      <c r="T67" s="29">
        <v>263863</v>
      </c>
      <c r="U67" s="65">
        <f>S67+T67</f>
        <v>527681</v>
      </c>
      <c r="V67" s="61">
        <f>U67*100/R67</f>
        <v>99.98124218424344</v>
      </c>
      <c r="W67" s="62">
        <f t="shared" si="20"/>
        <v>0</v>
      </c>
      <c r="X67" s="62">
        <f t="shared" si="20"/>
        <v>0</v>
      </c>
      <c r="Y67" s="63">
        <f t="shared" si="13"/>
        <v>0</v>
      </c>
      <c r="AA67" s="64"/>
      <c r="AB67" s="64"/>
    </row>
    <row r="68" spans="1:28" s="21" customFormat="1" ht="21">
      <c r="A68" s="36" t="s">
        <v>87</v>
      </c>
      <c r="B68" s="36">
        <v>1147</v>
      </c>
      <c r="C68" s="16"/>
      <c r="D68" s="16"/>
      <c r="E68" s="16">
        <f t="shared" si="10"/>
        <v>0</v>
      </c>
      <c r="F68" s="16"/>
      <c r="G68" s="16"/>
      <c r="H68" s="16"/>
      <c r="I68" s="16"/>
      <c r="J68" s="16"/>
      <c r="K68" s="16"/>
      <c r="L68" s="16"/>
      <c r="M68" s="16"/>
      <c r="N68" s="16">
        <f t="shared" si="19"/>
        <v>0</v>
      </c>
      <c r="O68" s="16">
        <f t="shared" si="19"/>
        <v>0</v>
      </c>
      <c r="P68" s="16">
        <f t="shared" si="14"/>
        <v>0</v>
      </c>
      <c r="Q68" s="20" t="s">
        <v>109</v>
      </c>
      <c r="R68" s="59">
        <f>269488+256434</f>
        <v>525922</v>
      </c>
      <c r="S68" s="60">
        <f>51903.2+20400+73111+121690</f>
        <v>267104.2</v>
      </c>
      <c r="T68" s="65">
        <v>72399.61</v>
      </c>
      <c r="U68" s="65">
        <f>S68+T68</f>
        <v>339503.81</v>
      </c>
      <c r="V68" s="61">
        <f>U68*100/R68</f>
        <v>64.55402322017333</v>
      </c>
      <c r="W68" s="62">
        <f t="shared" si="20"/>
        <v>0</v>
      </c>
      <c r="X68" s="62">
        <f t="shared" si="20"/>
        <v>0</v>
      </c>
      <c r="Y68" s="63">
        <f t="shared" si="13"/>
        <v>0</v>
      </c>
      <c r="AA68" s="64">
        <v>269488</v>
      </c>
      <c r="AB68" s="64">
        <v>145413.81</v>
      </c>
    </row>
    <row r="69" spans="1:25" ht="21">
      <c r="A69" s="25" t="s">
        <v>143</v>
      </c>
      <c r="B69" s="42">
        <v>0</v>
      </c>
      <c r="C69" s="27">
        <f>163+162</f>
        <v>325</v>
      </c>
      <c r="D69" s="27">
        <f>138+190</f>
        <v>328</v>
      </c>
      <c r="E69" s="16">
        <f t="shared" si="10"/>
        <v>653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f>F69+H69+J69+L69+C69</f>
        <v>325</v>
      </c>
      <c r="O69" s="58">
        <f>G69+I69+K69+M69+D69</f>
        <v>328</v>
      </c>
      <c r="P69" s="16">
        <f t="shared" si="14"/>
        <v>653</v>
      </c>
      <c r="Q69" s="20" t="s">
        <v>109</v>
      </c>
      <c r="R69" s="66">
        <v>0</v>
      </c>
      <c r="S69" s="67"/>
      <c r="T69" s="68"/>
      <c r="U69" s="68"/>
      <c r="V69" s="27"/>
      <c r="W69" s="62">
        <f t="shared" si="20"/>
        <v>0</v>
      </c>
      <c r="X69" s="62">
        <f t="shared" si="20"/>
        <v>0</v>
      </c>
      <c r="Y69" s="63">
        <f t="shared" si="13"/>
        <v>0</v>
      </c>
    </row>
    <row r="70" spans="1:28" ht="21">
      <c r="A70" s="25" t="s">
        <v>144</v>
      </c>
      <c r="B70" s="42">
        <v>0</v>
      </c>
      <c r="C70" s="27"/>
      <c r="D70" s="27"/>
      <c r="E70" s="16">
        <f t="shared" si="10"/>
        <v>0</v>
      </c>
      <c r="F70" s="58">
        <v>0</v>
      </c>
      <c r="G70" s="58">
        <v>0</v>
      </c>
      <c r="H70" s="58">
        <v>66</v>
      </c>
      <c r="I70" s="58">
        <v>53</v>
      </c>
      <c r="J70" s="58">
        <v>0</v>
      </c>
      <c r="K70" s="58">
        <v>0</v>
      </c>
      <c r="L70" s="58">
        <v>0</v>
      </c>
      <c r="M70" s="58">
        <v>0</v>
      </c>
      <c r="N70" s="16">
        <f t="shared" si="19"/>
        <v>66</v>
      </c>
      <c r="O70" s="16">
        <f t="shared" si="19"/>
        <v>53</v>
      </c>
      <c r="P70" s="16">
        <f t="shared" si="14"/>
        <v>119</v>
      </c>
      <c r="Q70" s="20" t="s">
        <v>109</v>
      </c>
      <c r="R70" s="66">
        <v>0</v>
      </c>
      <c r="S70" s="67"/>
      <c r="T70" s="68"/>
      <c r="U70" s="68"/>
      <c r="V70" s="27"/>
      <c r="W70" s="62">
        <f t="shared" si="20"/>
        <v>66</v>
      </c>
      <c r="X70" s="62">
        <f t="shared" si="20"/>
        <v>53</v>
      </c>
      <c r="Y70" s="63">
        <f t="shared" si="13"/>
        <v>119</v>
      </c>
      <c r="AB70" s="107">
        <f>AB68-S68</f>
        <v>-121690.39000000001</v>
      </c>
    </row>
    <row r="71" spans="1:25" ht="21">
      <c r="A71" s="25" t="s">
        <v>145</v>
      </c>
      <c r="B71" s="42">
        <v>0</v>
      </c>
      <c r="C71" s="27">
        <f>1+460+5+37+85</f>
        <v>588</v>
      </c>
      <c r="D71" s="27">
        <f>1+409+5+22+77</f>
        <v>514</v>
      </c>
      <c r="E71" s="16">
        <f t="shared" si="10"/>
        <v>1102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f aca="true" t="shared" si="21" ref="N71:O74">F71+H71+J71+L71+C71</f>
        <v>588</v>
      </c>
      <c r="O71" s="58">
        <f t="shared" si="21"/>
        <v>514</v>
      </c>
      <c r="P71" s="16">
        <f t="shared" si="14"/>
        <v>1102</v>
      </c>
      <c r="Q71" s="20" t="s">
        <v>109</v>
      </c>
      <c r="R71" s="66">
        <v>0</v>
      </c>
      <c r="S71" s="67"/>
      <c r="T71" s="68"/>
      <c r="U71" s="68"/>
      <c r="V71" s="27"/>
      <c r="W71" s="62">
        <f t="shared" si="20"/>
        <v>0</v>
      </c>
      <c r="X71" s="62">
        <f t="shared" si="20"/>
        <v>0</v>
      </c>
      <c r="Y71" s="63">
        <f t="shared" si="13"/>
        <v>0</v>
      </c>
    </row>
    <row r="72" spans="1:25" ht="21">
      <c r="A72" s="25" t="s">
        <v>146</v>
      </c>
      <c r="B72" s="42">
        <v>0</v>
      </c>
      <c r="C72" s="27">
        <v>37</v>
      </c>
      <c r="D72" s="27">
        <v>23</v>
      </c>
      <c r="E72" s="16">
        <f t="shared" si="10"/>
        <v>60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f t="shared" si="21"/>
        <v>37</v>
      </c>
      <c r="O72" s="58">
        <f t="shared" si="21"/>
        <v>23</v>
      </c>
      <c r="P72" s="16">
        <f>N72+O72</f>
        <v>60</v>
      </c>
      <c r="Q72" s="20" t="s">
        <v>109</v>
      </c>
      <c r="R72" s="66">
        <v>0</v>
      </c>
      <c r="S72" s="67"/>
      <c r="T72" s="68"/>
      <c r="U72" s="68"/>
      <c r="V72" s="27"/>
      <c r="W72" s="62">
        <f t="shared" si="20"/>
        <v>0</v>
      </c>
      <c r="X72" s="62">
        <f t="shared" si="20"/>
        <v>0</v>
      </c>
      <c r="Y72" s="63">
        <f t="shared" si="13"/>
        <v>0</v>
      </c>
    </row>
    <row r="73" spans="1:25" ht="21">
      <c r="A73" s="25" t="s">
        <v>147</v>
      </c>
      <c r="B73" s="42">
        <v>100</v>
      </c>
      <c r="C73" s="27">
        <v>54</v>
      </c>
      <c r="D73" s="27">
        <v>50</v>
      </c>
      <c r="E73" s="16">
        <f>C73+D73</f>
        <v>104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f t="shared" si="21"/>
        <v>54</v>
      </c>
      <c r="O73" s="58">
        <f t="shared" si="21"/>
        <v>50</v>
      </c>
      <c r="P73" s="16">
        <f>N73+O73</f>
        <v>104</v>
      </c>
      <c r="Q73" s="20">
        <f>P73*100/B73</f>
        <v>104</v>
      </c>
      <c r="R73" s="66">
        <v>0</v>
      </c>
      <c r="S73" s="67"/>
      <c r="T73" s="68"/>
      <c r="U73" s="68"/>
      <c r="V73" s="27"/>
      <c r="W73" s="62">
        <f>F73+H73+J73+L73</f>
        <v>0</v>
      </c>
      <c r="X73" s="62">
        <f>G73+I73+K73+M73</f>
        <v>0</v>
      </c>
      <c r="Y73" s="63">
        <f>W73+X73</f>
        <v>0</v>
      </c>
    </row>
    <row r="74" spans="1:25" ht="21">
      <c r="A74" s="25" t="s">
        <v>148</v>
      </c>
      <c r="B74" s="42">
        <v>40</v>
      </c>
      <c r="C74" s="27">
        <f>21</f>
        <v>21</v>
      </c>
      <c r="D74" s="27">
        <f>6</f>
        <v>6</v>
      </c>
      <c r="E74" s="16" t="s">
        <v>109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f t="shared" si="21"/>
        <v>21</v>
      </c>
      <c r="O74" s="58">
        <f t="shared" si="21"/>
        <v>6</v>
      </c>
      <c r="P74" s="16">
        <f>N74+O74</f>
        <v>27</v>
      </c>
      <c r="Q74" s="20">
        <f>P74*100/B74</f>
        <v>67.5</v>
      </c>
      <c r="R74" s="66">
        <v>0</v>
      </c>
      <c r="S74" s="67"/>
      <c r="T74" s="68"/>
      <c r="U74" s="68"/>
      <c r="V74" s="27"/>
      <c r="W74" s="62">
        <f t="shared" si="20"/>
        <v>0</v>
      </c>
      <c r="X74" s="62">
        <f t="shared" si="20"/>
        <v>0</v>
      </c>
      <c r="Y74" s="63">
        <f t="shared" si="13"/>
        <v>0</v>
      </c>
    </row>
    <row r="75" spans="1:25" ht="21">
      <c r="A75" s="25" t="s">
        <v>149</v>
      </c>
      <c r="B75" s="42">
        <v>320</v>
      </c>
      <c r="C75" s="27"/>
      <c r="D75" s="27"/>
      <c r="E75" s="16">
        <f>C75+D75</f>
        <v>0</v>
      </c>
      <c r="F75" s="58">
        <v>9</v>
      </c>
      <c r="G75" s="58">
        <v>8</v>
      </c>
      <c r="H75" s="58">
        <v>253</v>
      </c>
      <c r="I75" s="58">
        <v>234</v>
      </c>
      <c r="J75" s="58">
        <v>4</v>
      </c>
      <c r="K75" s="58">
        <v>8</v>
      </c>
      <c r="L75" s="58">
        <v>0</v>
      </c>
      <c r="M75" s="58">
        <v>13</v>
      </c>
      <c r="N75" s="16">
        <f>F75+H75+J75+L75</f>
        <v>266</v>
      </c>
      <c r="O75" s="16">
        <f>G75+I75+K75+M75</f>
        <v>263</v>
      </c>
      <c r="P75" s="16">
        <f>N75+O75</f>
        <v>529</v>
      </c>
      <c r="Q75" s="20">
        <f>P75*100/B75</f>
        <v>165.3125</v>
      </c>
      <c r="R75" s="66">
        <v>0</v>
      </c>
      <c r="S75" s="67"/>
      <c r="T75" s="68"/>
      <c r="U75" s="68"/>
      <c r="V75" s="27"/>
      <c r="W75" s="62">
        <f t="shared" si="20"/>
        <v>266</v>
      </c>
      <c r="X75" s="62">
        <f t="shared" si="20"/>
        <v>263</v>
      </c>
      <c r="Y75" s="63">
        <f t="shared" si="13"/>
        <v>529</v>
      </c>
    </row>
    <row r="76" spans="1:25" ht="21">
      <c r="A76" s="25" t="s">
        <v>150</v>
      </c>
      <c r="B76" s="42">
        <v>100</v>
      </c>
      <c r="C76" s="27"/>
      <c r="D76" s="27"/>
      <c r="E76" s="16">
        <f>C76+D76</f>
        <v>0</v>
      </c>
      <c r="F76" s="58">
        <v>3</v>
      </c>
      <c r="G76" s="58">
        <v>4</v>
      </c>
      <c r="H76" s="58">
        <v>101</v>
      </c>
      <c r="I76" s="58">
        <v>99</v>
      </c>
      <c r="J76" s="58">
        <v>0</v>
      </c>
      <c r="K76" s="58">
        <v>0</v>
      </c>
      <c r="L76" s="58">
        <v>0</v>
      </c>
      <c r="M76" s="58">
        <v>0</v>
      </c>
      <c r="N76" s="16">
        <f>F76+H76+J76+L76</f>
        <v>104</v>
      </c>
      <c r="O76" s="16">
        <f>G76+I76+K76+M76</f>
        <v>103</v>
      </c>
      <c r="P76" s="16">
        <f>N76+O76</f>
        <v>207</v>
      </c>
      <c r="Q76" s="20">
        <f>P76*100/B76</f>
        <v>207</v>
      </c>
      <c r="R76" s="66">
        <v>0</v>
      </c>
      <c r="S76" s="67"/>
      <c r="T76" s="68"/>
      <c r="U76" s="68"/>
      <c r="V76" s="27"/>
      <c r="W76" s="62">
        <f>F76+H76+J76+L76</f>
        <v>104</v>
      </c>
      <c r="X76" s="62">
        <f>G76+I76+K76+M76</f>
        <v>103</v>
      </c>
      <c r="Y76" s="63">
        <f>W76+X76</f>
        <v>207</v>
      </c>
    </row>
    <row r="77" spans="1:25" ht="21">
      <c r="A77" s="25" t="s">
        <v>151</v>
      </c>
      <c r="B77" s="42">
        <v>80</v>
      </c>
      <c r="C77" s="27"/>
      <c r="D77" s="27"/>
      <c r="E77" s="16">
        <f t="shared" si="10"/>
        <v>0</v>
      </c>
      <c r="F77" s="58">
        <v>0</v>
      </c>
      <c r="G77" s="58">
        <v>0</v>
      </c>
      <c r="H77" s="58">
        <v>50</v>
      </c>
      <c r="I77" s="58">
        <v>33</v>
      </c>
      <c r="J77" s="58">
        <v>0</v>
      </c>
      <c r="K77" s="58">
        <v>0</v>
      </c>
      <c r="L77" s="58">
        <v>0</v>
      </c>
      <c r="M77" s="58">
        <v>0</v>
      </c>
      <c r="N77" s="16">
        <f t="shared" si="19"/>
        <v>50</v>
      </c>
      <c r="O77" s="16">
        <f t="shared" si="19"/>
        <v>33</v>
      </c>
      <c r="P77" s="16">
        <f t="shared" si="14"/>
        <v>83</v>
      </c>
      <c r="Q77" s="20">
        <f>P77*100/B77</f>
        <v>103.75</v>
      </c>
      <c r="R77" s="66">
        <v>0</v>
      </c>
      <c r="S77" s="67"/>
      <c r="T77" s="68"/>
      <c r="U77" s="68"/>
      <c r="V77" s="27"/>
      <c r="W77" s="62">
        <f t="shared" si="20"/>
        <v>50</v>
      </c>
      <c r="X77" s="62">
        <f t="shared" si="20"/>
        <v>33</v>
      </c>
      <c r="Y77" s="63">
        <f t="shared" si="13"/>
        <v>83</v>
      </c>
    </row>
    <row r="78" spans="1:25" ht="42">
      <c r="A78" s="25" t="s">
        <v>152</v>
      </c>
      <c r="B78" s="42">
        <v>18</v>
      </c>
      <c r="C78" s="27"/>
      <c r="D78" s="27"/>
      <c r="E78" s="16">
        <f t="shared" si="10"/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16">
        <f t="shared" si="19"/>
        <v>0</v>
      </c>
      <c r="O78" s="16">
        <f t="shared" si="19"/>
        <v>0</v>
      </c>
      <c r="P78" s="16">
        <f t="shared" si="14"/>
        <v>0</v>
      </c>
      <c r="Q78" s="20" t="s">
        <v>109</v>
      </c>
      <c r="R78" s="66">
        <v>0</v>
      </c>
      <c r="S78" s="67"/>
      <c r="T78" s="68"/>
      <c r="U78" s="68"/>
      <c r="V78" s="27"/>
      <c r="W78" s="62">
        <f t="shared" si="20"/>
        <v>0</v>
      </c>
      <c r="X78" s="62">
        <f t="shared" si="20"/>
        <v>0</v>
      </c>
      <c r="Y78" s="63">
        <f t="shared" si="13"/>
        <v>0</v>
      </c>
    </row>
    <row r="79" spans="1:28" s="21" customFormat="1" ht="21">
      <c r="A79" s="36" t="s">
        <v>92</v>
      </c>
      <c r="B79" s="108">
        <v>2000</v>
      </c>
      <c r="C79" s="36">
        <v>618</v>
      </c>
      <c r="D79" s="36">
        <v>529</v>
      </c>
      <c r="E79" s="16">
        <f t="shared" si="10"/>
        <v>1147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f>C79+F79+H79+J79+L79</f>
        <v>618</v>
      </c>
      <c r="O79" s="36">
        <f>D79+G79+I79+K79+M79</f>
        <v>529</v>
      </c>
      <c r="P79" s="36">
        <f t="shared" si="14"/>
        <v>1147</v>
      </c>
      <c r="Q79" s="109">
        <f>P79*100/B79</f>
        <v>57.35</v>
      </c>
      <c r="R79" s="110">
        <f>755184+310320+30000+701037+34360</f>
        <v>1830901</v>
      </c>
      <c r="S79" s="111">
        <f>483777.18+87788+359749.57+445679.3</f>
        <v>1376994.05</v>
      </c>
      <c r="T79" s="112">
        <v>107053.22</v>
      </c>
      <c r="U79" s="112">
        <f>S79+T79</f>
        <v>1484047.27</v>
      </c>
      <c r="V79" s="113">
        <f>U79*100/R79</f>
        <v>81.0555715464681</v>
      </c>
      <c r="W79" s="62">
        <f t="shared" si="20"/>
        <v>0</v>
      </c>
      <c r="X79" s="62">
        <f t="shared" si="20"/>
        <v>0</v>
      </c>
      <c r="Y79" s="63">
        <f t="shared" si="13"/>
        <v>0</v>
      </c>
      <c r="AA79" s="64">
        <v>1486221</v>
      </c>
      <c r="AB79" s="64">
        <v>1101594.85</v>
      </c>
    </row>
    <row r="80" spans="1:28" s="103" customFormat="1" ht="21">
      <c r="A80" s="97" t="s">
        <v>93</v>
      </c>
      <c r="B80" s="114"/>
      <c r="C80" s="97">
        <f>C81+C82</f>
        <v>26</v>
      </c>
      <c r="D80" s="97">
        <f>D81+D82</f>
        <v>49</v>
      </c>
      <c r="E80" s="97">
        <f t="shared" si="10"/>
        <v>75</v>
      </c>
      <c r="F80" s="115">
        <f>F81+F82</f>
        <v>0</v>
      </c>
      <c r="G80" s="115">
        <f aca="true" t="shared" si="22" ref="G80:M80">G81+G82</f>
        <v>0</v>
      </c>
      <c r="H80" s="115">
        <f t="shared" si="22"/>
        <v>0</v>
      </c>
      <c r="I80" s="115">
        <f t="shared" si="22"/>
        <v>0</v>
      </c>
      <c r="J80" s="115">
        <f t="shared" si="22"/>
        <v>0</v>
      </c>
      <c r="K80" s="115">
        <f t="shared" si="22"/>
        <v>0</v>
      </c>
      <c r="L80" s="115">
        <f t="shared" si="22"/>
        <v>0</v>
      </c>
      <c r="M80" s="115">
        <f t="shared" si="22"/>
        <v>0</v>
      </c>
      <c r="N80" s="114">
        <f aca="true" t="shared" si="23" ref="N80:O95">C80+F80+H80+J80+L80</f>
        <v>26</v>
      </c>
      <c r="O80" s="114">
        <f t="shared" si="23"/>
        <v>49</v>
      </c>
      <c r="P80" s="114">
        <f t="shared" si="14"/>
        <v>75</v>
      </c>
      <c r="Q80" s="99" t="s">
        <v>109</v>
      </c>
      <c r="R80" s="96"/>
      <c r="S80" s="100"/>
      <c r="T80" s="101"/>
      <c r="U80" s="101"/>
      <c r="V80" s="97"/>
      <c r="W80" s="116">
        <f t="shared" si="20"/>
        <v>0</v>
      </c>
      <c r="X80" s="116">
        <f t="shared" si="20"/>
        <v>0</v>
      </c>
      <c r="Y80" s="116">
        <f t="shared" si="13"/>
        <v>0</v>
      </c>
      <c r="AA80" s="104">
        <v>343520</v>
      </c>
      <c r="AB80" s="104">
        <v>275399.2</v>
      </c>
    </row>
    <row r="81" spans="1:28" s="21" customFormat="1" ht="21">
      <c r="A81" s="16" t="s">
        <v>153</v>
      </c>
      <c r="B81" s="36"/>
      <c r="C81" s="16">
        <f>6+5</f>
        <v>11</v>
      </c>
      <c r="D81" s="16">
        <f>15+9</f>
        <v>24</v>
      </c>
      <c r="E81" s="16">
        <f t="shared" si="10"/>
        <v>35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36">
        <f t="shared" si="23"/>
        <v>11</v>
      </c>
      <c r="O81" s="36">
        <f t="shared" si="23"/>
        <v>24</v>
      </c>
      <c r="P81" s="16">
        <f t="shared" si="14"/>
        <v>35</v>
      </c>
      <c r="Q81" s="20" t="s">
        <v>109</v>
      </c>
      <c r="R81" s="59"/>
      <c r="S81" s="60"/>
      <c r="T81" s="29"/>
      <c r="U81" s="29"/>
      <c r="V81" s="16"/>
      <c r="W81" s="62">
        <f aca="true" t="shared" si="24" ref="W81:X96">F81+H81+J81+L81</f>
        <v>0</v>
      </c>
      <c r="X81" s="62">
        <f t="shared" si="24"/>
        <v>0</v>
      </c>
      <c r="Y81" s="63">
        <f t="shared" si="13"/>
        <v>0</v>
      </c>
      <c r="AA81" s="64">
        <f>AA79+AA80</f>
        <v>1829741</v>
      </c>
      <c r="AB81" s="64">
        <f>AB79+AB80</f>
        <v>1376994.05</v>
      </c>
    </row>
    <row r="82" spans="1:28" s="21" customFormat="1" ht="21">
      <c r="A82" s="16" t="s">
        <v>154</v>
      </c>
      <c r="B82" s="36"/>
      <c r="C82" s="16">
        <f>7+8</f>
        <v>15</v>
      </c>
      <c r="D82" s="16">
        <f>13+12</f>
        <v>25</v>
      </c>
      <c r="E82" s="16">
        <f t="shared" si="10"/>
        <v>40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36">
        <f t="shared" si="23"/>
        <v>15</v>
      </c>
      <c r="O82" s="36">
        <f t="shared" si="23"/>
        <v>25</v>
      </c>
      <c r="P82" s="16">
        <f t="shared" si="14"/>
        <v>40</v>
      </c>
      <c r="Q82" s="20" t="s">
        <v>109</v>
      </c>
      <c r="R82" s="59"/>
      <c r="S82" s="60"/>
      <c r="T82" s="29"/>
      <c r="U82" s="29"/>
      <c r="V82" s="16"/>
      <c r="W82" s="62">
        <f t="shared" si="24"/>
        <v>0</v>
      </c>
      <c r="X82" s="62">
        <f t="shared" si="24"/>
        <v>0</v>
      </c>
      <c r="Y82" s="63">
        <f t="shared" si="13"/>
        <v>0</v>
      </c>
      <c r="AA82" s="64"/>
      <c r="AB82" s="64"/>
    </row>
    <row r="83" spans="1:28" s="103" customFormat="1" ht="21">
      <c r="A83" s="97" t="s">
        <v>94</v>
      </c>
      <c r="B83" s="114"/>
      <c r="C83" s="97">
        <f>C84+C85</f>
        <v>470</v>
      </c>
      <c r="D83" s="97">
        <f>D84+D85</f>
        <v>368</v>
      </c>
      <c r="E83" s="97">
        <f t="shared" si="10"/>
        <v>838</v>
      </c>
      <c r="F83" s="115">
        <f>F84+F85</f>
        <v>0</v>
      </c>
      <c r="G83" s="115">
        <f aca="true" t="shared" si="25" ref="G83:M83">G84+G85</f>
        <v>0</v>
      </c>
      <c r="H83" s="115">
        <f t="shared" si="25"/>
        <v>0</v>
      </c>
      <c r="I83" s="115">
        <f t="shared" si="25"/>
        <v>0</v>
      </c>
      <c r="J83" s="115">
        <f t="shared" si="25"/>
        <v>0</v>
      </c>
      <c r="K83" s="115">
        <f t="shared" si="25"/>
        <v>0</v>
      </c>
      <c r="L83" s="115">
        <f t="shared" si="25"/>
        <v>0</v>
      </c>
      <c r="M83" s="115">
        <f t="shared" si="25"/>
        <v>0</v>
      </c>
      <c r="N83" s="114">
        <f t="shared" si="23"/>
        <v>470</v>
      </c>
      <c r="O83" s="114">
        <f t="shared" si="23"/>
        <v>368</v>
      </c>
      <c r="P83" s="114">
        <f t="shared" si="14"/>
        <v>838</v>
      </c>
      <c r="Q83" s="99" t="s">
        <v>109</v>
      </c>
      <c r="R83" s="96"/>
      <c r="S83" s="100"/>
      <c r="T83" s="101"/>
      <c r="U83" s="101"/>
      <c r="V83" s="97"/>
      <c r="W83" s="116">
        <f t="shared" si="24"/>
        <v>0</v>
      </c>
      <c r="X83" s="116">
        <f t="shared" si="24"/>
        <v>0</v>
      </c>
      <c r="Y83" s="116">
        <f t="shared" si="13"/>
        <v>0</v>
      </c>
      <c r="AA83" s="104"/>
      <c r="AB83" s="104">
        <f>AB81-S79</f>
        <v>0</v>
      </c>
    </row>
    <row r="84" spans="1:28" s="21" customFormat="1" ht="21">
      <c r="A84" s="16" t="s">
        <v>153</v>
      </c>
      <c r="B84" s="36"/>
      <c r="C84" s="16">
        <f>242+223</f>
        <v>465</v>
      </c>
      <c r="D84" s="16">
        <f>196+170</f>
        <v>366</v>
      </c>
      <c r="E84" s="16">
        <f t="shared" si="10"/>
        <v>831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36">
        <f t="shared" si="23"/>
        <v>465</v>
      </c>
      <c r="O84" s="36">
        <f t="shared" si="23"/>
        <v>366</v>
      </c>
      <c r="P84" s="16">
        <f t="shared" si="14"/>
        <v>831</v>
      </c>
      <c r="Q84" s="20" t="s">
        <v>109</v>
      </c>
      <c r="R84" s="59"/>
      <c r="S84" s="60"/>
      <c r="T84" s="29"/>
      <c r="U84" s="29"/>
      <c r="V84" s="16"/>
      <c r="W84" s="62">
        <f t="shared" si="24"/>
        <v>0</v>
      </c>
      <c r="X84" s="62">
        <f t="shared" si="24"/>
        <v>0</v>
      </c>
      <c r="Y84" s="63">
        <f t="shared" si="13"/>
        <v>0</v>
      </c>
      <c r="AA84" s="64"/>
      <c r="AB84" s="64"/>
    </row>
    <row r="85" spans="1:28" s="21" customFormat="1" ht="21">
      <c r="A85" s="16" t="s">
        <v>154</v>
      </c>
      <c r="B85" s="36"/>
      <c r="C85" s="16">
        <f>2+3</f>
        <v>5</v>
      </c>
      <c r="D85" s="16">
        <f>1+1</f>
        <v>2</v>
      </c>
      <c r="E85" s="16">
        <f t="shared" si="10"/>
        <v>7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36">
        <f t="shared" si="23"/>
        <v>5</v>
      </c>
      <c r="O85" s="36">
        <f t="shared" si="23"/>
        <v>2</v>
      </c>
      <c r="P85" s="16">
        <f t="shared" si="14"/>
        <v>7</v>
      </c>
      <c r="Q85" s="20" t="s">
        <v>109</v>
      </c>
      <c r="R85" s="59"/>
      <c r="S85" s="60"/>
      <c r="T85" s="29"/>
      <c r="U85" s="29"/>
      <c r="V85" s="16"/>
      <c r="W85" s="62">
        <f t="shared" si="24"/>
        <v>0</v>
      </c>
      <c r="X85" s="62">
        <f t="shared" si="24"/>
        <v>0</v>
      </c>
      <c r="Y85" s="63">
        <f t="shared" si="13"/>
        <v>0</v>
      </c>
      <c r="AA85" s="64"/>
      <c r="AB85" s="64"/>
    </row>
    <row r="86" spans="1:28" s="103" customFormat="1" ht="21">
      <c r="A86" s="97" t="s">
        <v>95</v>
      </c>
      <c r="B86" s="114"/>
      <c r="C86" s="97">
        <f>C87+C88</f>
        <v>682</v>
      </c>
      <c r="D86" s="97">
        <f>D87+D88</f>
        <v>610</v>
      </c>
      <c r="E86" s="97">
        <f t="shared" si="10"/>
        <v>1292</v>
      </c>
      <c r="F86" s="115">
        <f>F87+F88</f>
        <v>0</v>
      </c>
      <c r="G86" s="115">
        <f aca="true" t="shared" si="26" ref="G86:M86">G87+G88</f>
        <v>0</v>
      </c>
      <c r="H86" s="115">
        <f t="shared" si="26"/>
        <v>0</v>
      </c>
      <c r="I86" s="115">
        <f t="shared" si="26"/>
        <v>0</v>
      </c>
      <c r="J86" s="115">
        <f t="shared" si="26"/>
        <v>0</v>
      </c>
      <c r="K86" s="115">
        <f t="shared" si="26"/>
        <v>0</v>
      </c>
      <c r="L86" s="115">
        <f t="shared" si="26"/>
        <v>0</v>
      </c>
      <c r="M86" s="115">
        <f t="shared" si="26"/>
        <v>0</v>
      </c>
      <c r="N86" s="114">
        <f t="shared" si="23"/>
        <v>682</v>
      </c>
      <c r="O86" s="114">
        <f t="shared" si="23"/>
        <v>610</v>
      </c>
      <c r="P86" s="114">
        <f t="shared" si="14"/>
        <v>1292</v>
      </c>
      <c r="Q86" s="99" t="s">
        <v>109</v>
      </c>
      <c r="R86" s="96"/>
      <c r="S86" s="100"/>
      <c r="T86" s="101"/>
      <c r="U86" s="101"/>
      <c r="V86" s="97"/>
      <c r="W86" s="116">
        <f t="shared" si="24"/>
        <v>0</v>
      </c>
      <c r="X86" s="116">
        <f t="shared" si="24"/>
        <v>0</v>
      </c>
      <c r="Y86" s="116">
        <f t="shared" si="13"/>
        <v>0</v>
      </c>
      <c r="AA86" s="104"/>
      <c r="AB86" s="104"/>
    </row>
    <row r="87" spans="1:28" s="21" customFormat="1" ht="21">
      <c r="A87" s="16" t="s">
        <v>153</v>
      </c>
      <c r="B87" s="36"/>
      <c r="C87" s="16">
        <f>360+300</f>
        <v>660</v>
      </c>
      <c r="D87" s="16">
        <f>306+287</f>
        <v>593</v>
      </c>
      <c r="E87" s="16">
        <f t="shared" si="10"/>
        <v>1253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36">
        <f t="shared" si="23"/>
        <v>660</v>
      </c>
      <c r="O87" s="36">
        <f t="shared" si="23"/>
        <v>593</v>
      </c>
      <c r="P87" s="16">
        <f t="shared" si="14"/>
        <v>1253</v>
      </c>
      <c r="Q87" s="20" t="s">
        <v>109</v>
      </c>
      <c r="R87" s="59"/>
      <c r="S87" s="60"/>
      <c r="T87" s="29"/>
      <c r="U87" s="29"/>
      <c r="V87" s="16"/>
      <c r="W87" s="62">
        <f t="shared" si="24"/>
        <v>0</v>
      </c>
      <c r="X87" s="62">
        <f t="shared" si="24"/>
        <v>0</v>
      </c>
      <c r="Y87" s="63">
        <f t="shared" si="13"/>
        <v>0</v>
      </c>
      <c r="AA87" s="64"/>
      <c r="AB87" s="64"/>
    </row>
    <row r="88" spans="1:28" s="21" customFormat="1" ht="21">
      <c r="A88" s="16" t="s">
        <v>154</v>
      </c>
      <c r="B88" s="36"/>
      <c r="C88" s="16">
        <f>1+21</f>
        <v>22</v>
      </c>
      <c r="D88" s="16">
        <f>2+15</f>
        <v>17</v>
      </c>
      <c r="E88" s="16">
        <f t="shared" si="10"/>
        <v>39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36">
        <f t="shared" si="23"/>
        <v>22</v>
      </c>
      <c r="O88" s="36">
        <f t="shared" si="23"/>
        <v>17</v>
      </c>
      <c r="P88" s="16">
        <f t="shared" si="14"/>
        <v>39</v>
      </c>
      <c r="Q88" s="20" t="s">
        <v>109</v>
      </c>
      <c r="R88" s="59"/>
      <c r="S88" s="60"/>
      <c r="T88" s="29"/>
      <c r="U88" s="29"/>
      <c r="V88" s="16"/>
      <c r="W88" s="62">
        <f t="shared" si="24"/>
        <v>0</v>
      </c>
      <c r="X88" s="62">
        <f t="shared" si="24"/>
        <v>0</v>
      </c>
      <c r="Y88" s="63">
        <f t="shared" si="13"/>
        <v>0</v>
      </c>
      <c r="AA88" s="64"/>
      <c r="AB88" s="64"/>
    </row>
    <row r="89" spans="1:28" s="103" customFormat="1" ht="21">
      <c r="A89" s="114" t="s">
        <v>96</v>
      </c>
      <c r="B89" s="114">
        <v>150</v>
      </c>
      <c r="C89" s="114">
        <f>C90+C91+C92+C93</f>
        <v>165</v>
      </c>
      <c r="D89" s="114">
        <f>D90+D91+D92+D93</f>
        <v>168</v>
      </c>
      <c r="E89" s="97">
        <f t="shared" si="10"/>
        <v>333</v>
      </c>
      <c r="F89" s="115">
        <f>F90+F91+F92</f>
        <v>0</v>
      </c>
      <c r="G89" s="115">
        <f aca="true" t="shared" si="27" ref="G89:M89">G90+G91+G92</f>
        <v>0</v>
      </c>
      <c r="H89" s="115">
        <f t="shared" si="27"/>
        <v>0</v>
      </c>
      <c r="I89" s="115">
        <f t="shared" si="27"/>
        <v>0</v>
      </c>
      <c r="J89" s="115">
        <f t="shared" si="27"/>
        <v>0</v>
      </c>
      <c r="K89" s="115">
        <f t="shared" si="27"/>
        <v>0</v>
      </c>
      <c r="L89" s="115">
        <f t="shared" si="27"/>
        <v>0</v>
      </c>
      <c r="M89" s="115">
        <f t="shared" si="27"/>
        <v>0</v>
      </c>
      <c r="N89" s="114">
        <f t="shared" si="23"/>
        <v>165</v>
      </c>
      <c r="O89" s="114">
        <f t="shared" si="23"/>
        <v>168</v>
      </c>
      <c r="P89" s="114">
        <f t="shared" si="14"/>
        <v>333</v>
      </c>
      <c r="Q89" s="99">
        <f>P89*100/B89</f>
        <v>222</v>
      </c>
      <c r="R89" s="96"/>
      <c r="S89" s="100"/>
      <c r="T89" s="101"/>
      <c r="U89" s="101"/>
      <c r="V89" s="97"/>
      <c r="W89" s="116">
        <f t="shared" si="24"/>
        <v>0</v>
      </c>
      <c r="X89" s="116">
        <f t="shared" si="24"/>
        <v>0</v>
      </c>
      <c r="Y89" s="116">
        <f t="shared" si="13"/>
        <v>0</v>
      </c>
      <c r="AA89" s="104"/>
      <c r="AB89" s="104"/>
    </row>
    <row r="90" spans="1:28" s="21" customFormat="1" ht="21">
      <c r="A90" s="16" t="s">
        <v>93</v>
      </c>
      <c r="B90" s="36"/>
      <c r="C90" s="16">
        <f>4+2</f>
        <v>6</v>
      </c>
      <c r="D90" s="16">
        <f>3+3</f>
        <v>6</v>
      </c>
      <c r="E90" s="16">
        <f t="shared" si="10"/>
        <v>12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36">
        <f t="shared" si="23"/>
        <v>6</v>
      </c>
      <c r="O90" s="36">
        <f t="shared" si="23"/>
        <v>6</v>
      </c>
      <c r="P90" s="16">
        <f t="shared" si="14"/>
        <v>12</v>
      </c>
      <c r="Q90" s="20" t="s">
        <v>109</v>
      </c>
      <c r="R90" s="59"/>
      <c r="S90" s="60"/>
      <c r="T90" s="29"/>
      <c r="U90" s="29"/>
      <c r="V90" s="16"/>
      <c r="W90" s="62">
        <f t="shared" si="24"/>
        <v>0</v>
      </c>
      <c r="X90" s="62">
        <f t="shared" si="24"/>
        <v>0</v>
      </c>
      <c r="Y90" s="63">
        <f t="shared" si="13"/>
        <v>0</v>
      </c>
      <c r="AA90" s="64"/>
      <c r="AB90" s="64"/>
    </row>
    <row r="91" spans="1:28" s="21" customFormat="1" ht="21">
      <c r="A91" s="16" t="s">
        <v>94</v>
      </c>
      <c r="B91" s="36"/>
      <c r="C91" s="16">
        <f>36+26</f>
        <v>62</v>
      </c>
      <c r="D91" s="16">
        <f>28+36</f>
        <v>64</v>
      </c>
      <c r="E91" s="16">
        <f t="shared" si="10"/>
        <v>126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36">
        <f t="shared" si="23"/>
        <v>62</v>
      </c>
      <c r="O91" s="36">
        <f t="shared" si="23"/>
        <v>64</v>
      </c>
      <c r="P91" s="16">
        <f t="shared" si="14"/>
        <v>126</v>
      </c>
      <c r="Q91" s="20" t="s">
        <v>109</v>
      </c>
      <c r="R91" s="59"/>
      <c r="S91" s="60"/>
      <c r="T91" s="29"/>
      <c r="U91" s="29"/>
      <c r="V91" s="16"/>
      <c r="W91" s="62">
        <f t="shared" si="24"/>
        <v>0</v>
      </c>
      <c r="X91" s="62">
        <f t="shared" si="24"/>
        <v>0</v>
      </c>
      <c r="Y91" s="63">
        <f t="shared" si="13"/>
        <v>0</v>
      </c>
      <c r="AA91" s="64"/>
      <c r="AB91" s="64"/>
    </row>
    <row r="92" spans="1:28" s="21" customFormat="1" ht="21">
      <c r="A92" s="16" t="s">
        <v>95</v>
      </c>
      <c r="B92" s="36"/>
      <c r="C92" s="16">
        <f>42+55</f>
        <v>97</v>
      </c>
      <c r="D92" s="16">
        <f>38+60</f>
        <v>98</v>
      </c>
      <c r="E92" s="16">
        <f t="shared" si="10"/>
        <v>195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36">
        <f t="shared" si="23"/>
        <v>97</v>
      </c>
      <c r="O92" s="36">
        <f t="shared" si="23"/>
        <v>98</v>
      </c>
      <c r="P92" s="16">
        <f t="shared" si="14"/>
        <v>195</v>
      </c>
      <c r="Q92" s="20" t="s">
        <v>109</v>
      </c>
      <c r="R92" s="59"/>
      <c r="S92" s="60"/>
      <c r="T92" s="29"/>
      <c r="U92" s="29"/>
      <c r="V92" s="16"/>
      <c r="W92" s="62">
        <f t="shared" si="24"/>
        <v>0</v>
      </c>
      <c r="X92" s="62">
        <f t="shared" si="24"/>
        <v>0</v>
      </c>
      <c r="Y92" s="63">
        <f t="shared" si="13"/>
        <v>0</v>
      </c>
      <c r="AA92" s="64" t="s">
        <v>109</v>
      </c>
      <c r="AB92" s="64"/>
    </row>
    <row r="93" spans="1:28" s="21" customFormat="1" ht="21">
      <c r="A93" s="36" t="s">
        <v>155</v>
      </c>
      <c r="B93" s="36" t="s">
        <v>109</v>
      </c>
      <c r="C93" s="16">
        <v>0</v>
      </c>
      <c r="D93" s="16">
        <v>0</v>
      </c>
      <c r="E93" s="16">
        <f t="shared" si="10"/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36">
        <f t="shared" si="23"/>
        <v>0</v>
      </c>
      <c r="O93" s="36">
        <f t="shared" si="23"/>
        <v>0</v>
      </c>
      <c r="P93" s="16">
        <f t="shared" si="14"/>
        <v>0</v>
      </c>
      <c r="Q93" s="20" t="s">
        <v>109</v>
      </c>
      <c r="R93" s="59"/>
      <c r="S93" s="60"/>
      <c r="T93" s="29"/>
      <c r="U93" s="29"/>
      <c r="V93" s="16"/>
      <c r="W93" s="62">
        <f t="shared" si="24"/>
        <v>0</v>
      </c>
      <c r="X93" s="62">
        <f t="shared" si="24"/>
        <v>0</v>
      </c>
      <c r="Y93" s="63">
        <f t="shared" si="13"/>
        <v>0</v>
      </c>
      <c r="AA93" s="64" t="s">
        <v>109</v>
      </c>
      <c r="AB93" s="64"/>
    </row>
    <row r="94" spans="1:28" s="103" customFormat="1" ht="21">
      <c r="A94" s="97" t="s">
        <v>93</v>
      </c>
      <c r="B94" s="114"/>
      <c r="C94" s="97">
        <v>1</v>
      </c>
      <c r="D94" s="97">
        <v>7</v>
      </c>
      <c r="E94" s="97">
        <f t="shared" si="10"/>
        <v>8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/>
      <c r="M94" s="97"/>
      <c r="N94" s="114">
        <f t="shared" si="23"/>
        <v>1</v>
      </c>
      <c r="O94" s="114">
        <f t="shared" si="23"/>
        <v>7</v>
      </c>
      <c r="P94" s="97">
        <f t="shared" si="14"/>
        <v>8</v>
      </c>
      <c r="Q94" s="99">
        <f>P94*100/C94</f>
        <v>800</v>
      </c>
      <c r="R94" s="96"/>
      <c r="S94" s="100"/>
      <c r="T94" s="101"/>
      <c r="U94" s="101"/>
      <c r="V94" s="97"/>
      <c r="W94" s="116">
        <f t="shared" si="24"/>
        <v>0</v>
      </c>
      <c r="X94" s="116">
        <f t="shared" si="24"/>
        <v>0</v>
      </c>
      <c r="Y94" s="116">
        <f t="shared" si="13"/>
        <v>0</v>
      </c>
      <c r="AA94" s="104"/>
      <c r="AB94" s="104"/>
    </row>
    <row r="95" spans="1:28" s="21" customFormat="1" ht="42">
      <c r="A95" s="24" t="s">
        <v>156</v>
      </c>
      <c r="B95" s="36" t="s">
        <v>109</v>
      </c>
      <c r="C95" s="16">
        <v>0</v>
      </c>
      <c r="D95" s="16">
        <v>0</v>
      </c>
      <c r="E95" s="16">
        <f t="shared" si="10"/>
        <v>0</v>
      </c>
      <c r="F95" s="16"/>
      <c r="G95" s="16"/>
      <c r="H95" s="16"/>
      <c r="I95" s="16"/>
      <c r="J95" s="16"/>
      <c r="K95" s="16"/>
      <c r="L95" s="16"/>
      <c r="M95" s="16"/>
      <c r="N95" s="36">
        <f t="shared" si="23"/>
        <v>0</v>
      </c>
      <c r="O95" s="36">
        <f t="shared" si="23"/>
        <v>0</v>
      </c>
      <c r="P95" s="16">
        <f t="shared" si="14"/>
        <v>0</v>
      </c>
      <c r="Q95" s="20" t="s">
        <v>109</v>
      </c>
      <c r="R95" s="59">
        <f>223100+32800+45600</f>
        <v>301500</v>
      </c>
      <c r="S95" s="65">
        <f>29100+39880+75301.65</f>
        <v>144281.65</v>
      </c>
      <c r="T95" s="29">
        <v>0</v>
      </c>
      <c r="U95" s="65">
        <f>S95+T95</f>
        <v>144281.65</v>
      </c>
      <c r="V95" s="16"/>
      <c r="W95" s="62">
        <f t="shared" si="24"/>
        <v>0</v>
      </c>
      <c r="X95" s="62">
        <f t="shared" si="24"/>
        <v>0</v>
      </c>
      <c r="Y95" s="63">
        <f t="shared" si="13"/>
        <v>0</v>
      </c>
      <c r="AA95" s="64">
        <v>223100</v>
      </c>
      <c r="AB95" s="64">
        <v>68980</v>
      </c>
    </row>
    <row r="96" spans="1:28" s="103" customFormat="1" ht="21">
      <c r="A96" s="97" t="s">
        <v>157</v>
      </c>
      <c r="B96" s="114">
        <v>225</v>
      </c>
      <c r="C96" s="97">
        <f>60+13</f>
        <v>73</v>
      </c>
      <c r="D96" s="97">
        <f>33+12</f>
        <v>45</v>
      </c>
      <c r="E96" s="97">
        <f t="shared" si="10"/>
        <v>118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114">
        <f aca="true" t="shared" si="28" ref="N96:O98">C96+F96+H96+J96+L96</f>
        <v>73</v>
      </c>
      <c r="O96" s="114">
        <f t="shared" si="28"/>
        <v>45</v>
      </c>
      <c r="P96" s="97">
        <f t="shared" si="14"/>
        <v>118</v>
      </c>
      <c r="Q96" s="99">
        <f>P96*100/B96</f>
        <v>52.44444444444444</v>
      </c>
      <c r="R96" s="96"/>
      <c r="S96" s="100"/>
      <c r="T96" s="101"/>
      <c r="U96" s="101"/>
      <c r="V96" s="97"/>
      <c r="W96" s="62">
        <f t="shared" si="24"/>
        <v>0</v>
      </c>
      <c r="X96" s="62">
        <f t="shared" si="24"/>
        <v>0</v>
      </c>
      <c r="Y96" s="63">
        <f t="shared" si="13"/>
        <v>0</v>
      </c>
      <c r="AA96" s="104"/>
      <c r="AB96" s="107">
        <f>AB95-S95</f>
        <v>-75301.65</v>
      </c>
    </row>
    <row r="97" spans="1:28" s="21" customFormat="1" ht="42">
      <c r="A97" s="24" t="s">
        <v>158</v>
      </c>
      <c r="B97" s="36" t="s">
        <v>109</v>
      </c>
      <c r="C97" s="16">
        <v>0</v>
      </c>
      <c r="D97" s="16">
        <v>0</v>
      </c>
      <c r="E97" s="16">
        <f>C97+D97</f>
        <v>0</v>
      </c>
      <c r="F97" s="16"/>
      <c r="G97" s="16"/>
      <c r="H97" s="16"/>
      <c r="I97" s="16"/>
      <c r="J97" s="16"/>
      <c r="K97" s="16"/>
      <c r="L97" s="16"/>
      <c r="M97" s="16"/>
      <c r="N97" s="36">
        <f t="shared" si="28"/>
        <v>0</v>
      </c>
      <c r="O97" s="36">
        <f t="shared" si="28"/>
        <v>0</v>
      </c>
      <c r="P97" s="16">
        <f>N97+O97</f>
        <v>0</v>
      </c>
      <c r="Q97" s="20" t="s">
        <v>109</v>
      </c>
      <c r="R97" s="59">
        <v>47000</v>
      </c>
      <c r="S97" s="65">
        <v>47000</v>
      </c>
      <c r="T97" s="29">
        <v>0</v>
      </c>
      <c r="U97" s="65">
        <f>S97+T97</f>
        <v>47000</v>
      </c>
      <c r="V97" s="16"/>
      <c r="W97" s="62">
        <f>F97+H97+J97+L97</f>
        <v>0</v>
      </c>
      <c r="X97" s="62">
        <f>G97+I97+K97+M97</f>
        <v>0</v>
      </c>
      <c r="Y97" s="63">
        <f>W97+X97</f>
        <v>0</v>
      </c>
      <c r="AA97" s="64">
        <v>223100</v>
      </c>
      <c r="AB97" s="64">
        <v>68980</v>
      </c>
    </row>
    <row r="98" spans="1:28" s="103" customFormat="1" ht="21">
      <c r="A98" s="97" t="s">
        <v>159</v>
      </c>
      <c r="B98" s="114">
        <v>20</v>
      </c>
      <c r="C98" s="97">
        <v>0</v>
      </c>
      <c r="D98" s="97">
        <v>0</v>
      </c>
      <c r="E98" s="97">
        <f>C98+D98</f>
        <v>0</v>
      </c>
      <c r="F98" s="98">
        <v>0</v>
      </c>
      <c r="G98" s="98">
        <v>0</v>
      </c>
      <c r="H98" s="98">
        <v>2</v>
      </c>
      <c r="I98" s="98">
        <v>1</v>
      </c>
      <c r="J98" s="98">
        <v>4</v>
      </c>
      <c r="K98" s="98">
        <v>2</v>
      </c>
      <c r="L98" s="98">
        <v>0</v>
      </c>
      <c r="M98" s="98">
        <v>0</v>
      </c>
      <c r="N98" s="114">
        <f t="shared" si="28"/>
        <v>6</v>
      </c>
      <c r="O98" s="114">
        <f t="shared" si="28"/>
        <v>3</v>
      </c>
      <c r="P98" s="97">
        <f>N98+O98</f>
        <v>9</v>
      </c>
      <c r="Q98" s="99">
        <f>P98*100/B98</f>
        <v>45</v>
      </c>
      <c r="R98" s="96"/>
      <c r="S98" s="100"/>
      <c r="T98" s="101"/>
      <c r="U98" s="101"/>
      <c r="V98" s="97"/>
      <c r="W98" s="62">
        <f>F98+H98+J98+L98</f>
        <v>6</v>
      </c>
      <c r="X98" s="62">
        <f>G98+I98+K98+M98</f>
        <v>3</v>
      </c>
      <c r="Y98" s="63">
        <f>W98+X98</f>
        <v>9</v>
      </c>
      <c r="AA98" s="104"/>
      <c r="AB98" s="107">
        <f>AB97-S97</f>
        <v>21980</v>
      </c>
    </row>
  </sheetData>
  <sheetProtection/>
  <mergeCells count="21">
    <mergeCell ref="P4:P5"/>
    <mergeCell ref="V4:V6"/>
    <mergeCell ref="A1:V1"/>
    <mergeCell ref="A2:V2"/>
    <mergeCell ref="A3:U3"/>
    <mergeCell ref="A4:A6"/>
    <mergeCell ref="B4:B6"/>
    <mergeCell ref="C4:D5"/>
    <mergeCell ref="E4:E5"/>
    <mergeCell ref="F4:M4"/>
    <mergeCell ref="N4:O5"/>
    <mergeCell ref="F5:G5"/>
    <mergeCell ref="H5:I5"/>
    <mergeCell ref="J5:K5"/>
    <mergeCell ref="L5:M5"/>
    <mergeCell ref="B7:V7"/>
    <mergeCell ref="Q4:Q6"/>
    <mergeCell ref="R4:R6"/>
    <mergeCell ref="S4:S6"/>
    <mergeCell ref="T4:T6"/>
    <mergeCell ref="U4:U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B5" sqref="B5:B7"/>
    </sheetView>
  </sheetViews>
  <sheetFormatPr defaultColWidth="6.57421875" defaultRowHeight="15"/>
  <cols>
    <col min="1" max="1" width="41.7109375" style="148" customWidth="1"/>
    <col min="2" max="2" width="8.8515625" style="148" customWidth="1"/>
    <col min="3" max="3" width="7.140625" style="149" bestFit="1" customWidth="1"/>
    <col min="4" max="4" width="7.00390625" style="149" customWidth="1"/>
    <col min="5" max="5" width="10.8515625" style="149" bestFit="1" customWidth="1"/>
    <col min="6" max="6" width="7.00390625" style="149" customWidth="1"/>
    <col min="7" max="7" width="6.00390625" style="149" bestFit="1" customWidth="1"/>
    <col min="8" max="8" width="5.7109375" style="149" customWidth="1"/>
    <col min="9" max="13" width="6.00390625" style="149" bestFit="1" customWidth="1"/>
    <col min="14" max="14" width="8.421875" style="151" bestFit="1" customWidth="1"/>
    <col min="15" max="15" width="6.7109375" style="151" bestFit="1" customWidth="1"/>
    <col min="16" max="16" width="7.421875" style="151" customWidth="1"/>
    <col min="17" max="18" width="10.140625" style="148" customWidth="1"/>
    <col min="19" max="20" width="12.421875" style="148" bestFit="1" customWidth="1"/>
    <col min="21" max="21" width="11.421875" style="148" bestFit="1" customWidth="1"/>
    <col min="22" max="22" width="10.140625" style="148" customWidth="1"/>
    <col min="23" max="16384" width="6.57421875" style="148" customWidth="1"/>
  </cols>
  <sheetData>
    <row r="1" ht="21">
      <c r="N1" s="150"/>
    </row>
    <row r="2" spans="1:22" ht="23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3.25">
      <c r="A3" s="152" t="s">
        <v>160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1" ht="23.25">
      <c r="A4" s="153" t="s">
        <v>161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4" s="160" customFormat="1" ht="48" customHeight="1">
      <c r="A5" s="154" t="s">
        <v>3</v>
      </c>
      <c r="B5" s="155" t="s">
        <v>4</v>
      </c>
      <c r="C5" s="156" t="s">
        <v>5</v>
      </c>
      <c r="D5" s="157"/>
      <c r="E5" s="158"/>
      <c r="F5" s="156" t="s">
        <v>6</v>
      </c>
      <c r="G5" s="157"/>
      <c r="H5" s="157"/>
      <c r="I5" s="157"/>
      <c r="J5" s="157"/>
      <c r="K5" s="157"/>
      <c r="L5" s="157"/>
      <c r="M5" s="158"/>
      <c r="N5" s="156" t="s">
        <v>7</v>
      </c>
      <c r="O5" s="157"/>
      <c r="P5" s="158"/>
      <c r="Q5" s="155" t="s">
        <v>8</v>
      </c>
      <c r="R5" s="155" t="s">
        <v>9</v>
      </c>
      <c r="S5" s="155" t="s">
        <v>10</v>
      </c>
      <c r="T5" s="155" t="s">
        <v>11</v>
      </c>
      <c r="U5" s="155" t="s">
        <v>12</v>
      </c>
      <c r="V5" s="155" t="s">
        <v>13</v>
      </c>
      <c r="W5" s="159"/>
      <c r="X5" s="159"/>
    </row>
    <row r="6" spans="1:24" s="160" customFormat="1" ht="28.5" customHeight="1">
      <c r="A6" s="154"/>
      <c r="B6" s="161"/>
      <c r="C6" s="162"/>
      <c r="D6" s="163"/>
      <c r="E6" s="164"/>
      <c r="F6" s="165" t="s">
        <v>14</v>
      </c>
      <c r="G6" s="165"/>
      <c r="H6" s="165" t="s">
        <v>15</v>
      </c>
      <c r="I6" s="165"/>
      <c r="J6" s="165" t="s">
        <v>16</v>
      </c>
      <c r="K6" s="165"/>
      <c r="L6" s="165" t="s">
        <v>17</v>
      </c>
      <c r="M6" s="165"/>
      <c r="N6" s="166"/>
      <c r="O6" s="167"/>
      <c r="P6" s="168"/>
      <c r="Q6" s="161"/>
      <c r="R6" s="161"/>
      <c r="S6" s="161"/>
      <c r="T6" s="161"/>
      <c r="U6" s="161"/>
      <c r="V6" s="161"/>
      <c r="W6" s="159"/>
      <c r="X6" s="159"/>
    </row>
    <row r="7" spans="1:22" s="160" customFormat="1" ht="24" customHeight="1">
      <c r="A7" s="154"/>
      <c r="B7" s="169"/>
      <c r="C7" s="170" t="s">
        <v>18</v>
      </c>
      <c r="D7" s="170" t="s">
        <v>19</v>
      </c>
      <c r="E7" s="171" t="s">
        <v>20</v>
      </c>
      <c r="F7" s="170" t="s">
        <v>18</v>
      </c>
      <c r="G7" s="170" t="s">
        <v>19</v>
      </c>
      <c r="H7" s="170" t="s">
        <v>18</v>
      </c>
      <c r="I7" s="170" t="s">
        <v>19</v>
      </c>
      <c r="J7" s="170" t="s">
        <v>18</v>
      </c>
      <c r="K7" s="170" t="s">
        <v>19</v>
      </c>
      <c r="L7" s="170" t="s">
        <v>18</v>
      </c>
      <c r="M7" s="170" t="s">
        <v>19</v>
      </c>
      <c r="N7" s="170" t="s">
        <v>18</v>
      </c>
      <c r="O7" s="170" t="s">
        <v>19</v>
      </c>
      <c r="P7" s="170" t="s">
        <v>21</v>
      </c>
      <c r="Q7" s="169"/>
      <c r="R7" s="169"/>
      <c r="S7" s="169"/>
      <c r="T7" s="169"/>
      <c r="U7" s="169"/>
      <c r="V7" s="169"/>
    </row>
    <row r="8" spans="1:22" s="160" customFormat="1" ht="24" customHeight="1">
      <c r="A8" s="172" t="s">
        <v>22</v>
      </c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</row>
    <row r="9" spans="1:22" s="180" customFormat="1" ht="26.25" customHeight="1">
      <c r="A9" s="176" t="s">
        <v>23</v>
      </c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7"/>
      <c r="R9" s="179"/>
      <c r="S9" s="179"/>
      <c r="T9" s="179"/>
      <c r="U9" s="179"/>
      <c r="V9" s="179"/>
    </row>
    <row r="10" spans="1:22" s="149" customFormat="1" ht="21">
      <c r="A10" s="181" t="s">
        <v>24</v>
      </c>
      <c r="B10" s="182">
        <v>15</v>
      </c>
      <c r="C10" s="182">
        <v>9</v>
      </c>
      <c r="D10" s="182">
        <v>6</v>
      </c>
      <c r="E10" s="182">
        <v>15</v>
      </c>
      <c r="F10" s="182"/>
      <c r="G10" s="182"/>
      <c r="H10" s="182"/>
      <c r="I10" s="182"/>
      <c r="J10" s="182"/>
      <c r="K10" s="182"/>
      <c r="L10" s="182"/>
      <c r="M10" s="182"/>
      <c r="N10" s="183">
        <v>9</v>
      </c>
      <c r="O10" s="183">
        <v>6</v>
      </c>
      <c r="P10" s="183">
        <v>15</v>
      </c>
      <c r="Q10" s="182"/>
      <c r="R10" s="182"/>
      <c r="S10" s="182"/>
      <c r="T10" s="182"/>
      <c r="U10" s="182"/>
      <c r="V10" s="182"/>
    </row>
    <row r="11" spans="1:22" s="149" customFormat="1" ht="21">
      <c r="A11" s="22" t="s">
        <v>162</v>
      </c>
      <c r="B11" s="182">
        <v>200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>
        <f>SUM(N12:N17)</f>
        <v>88</v>
      </c>
      <c r="O11" s="183">
        <f>SUM(O12:O17)</f>
        <v>154</v>
      </c>
      <c r="P11" s="183">
        <f>SUM(P12:P17)</f>
        <v>242</v>
      </c>
      <c r="Q11" s="184">
        <f>P11/B11*100</f>
        <v>121</v>
      </c>
      <c r="R11" s="29">
        <v>160000</v>
      </c>
      <c r="S11" s="65">
        <v>156990</v>
      </c>
      <c r="T11" s="185">
        <f>U11-S11</f>
        <v>0</v>
      </c>
      <c r="U11" s="186">
        <v>156990</v>
      </c>
      <c r="V11" s="184">
        <f>U11/R11*100</f>
        <v>98.11875</v>
      </c>
    </row>
    <row r="12" spans="1:22" s="149" customFormat="1" ht="21">
      <c r="A12" s="187" t="s">
        <v>163</v>
      </c>
      <c r="B12" s="182"/>
      <c r="C12" s="182"/>
      <c r="D12" s="182">
        <v>110</v>
      </c>
      <c r="E12" s="188">
        <f>D12+C12</f>
        <v>110</v>
      </c>
      <c r="F12" s="182"/>
      <c r="G12" s="182"/>
      <c r="H12" s="182"/>
      <c r="I12" s="182"/>
      <c r="J12" s="182"/>
      <c r="K12" s="182"/>
      <c r="L12" s="182"/>
      <c r="M12" s="182"/>
      <c r="N12" s="183">
        <f aca="true" t="shared" si="0" ref="N12:O17">C12+F12+H12+J12+L12</f>
        <v>0</v>
      </c>
      <c r="O12" s="183">
        <f t="shared" si="0"/>
        <v>110</v>
      </c>
      <c r="P12" s="183">
        <f aca="true" t="shared" si="1" ref="P12:P17">O12+N12</f>
        <v>110</v>
      </c>
      <c r="Q12" s="184"/>
      <c r="R12" s="189"/>
      <c r="S12" s="182"/>
      <c r="T12" s="182"/>
      <c r="U12" s="182"/>
      <c r="V12" s="182"/>
    </row>
    <row r="13" spans="1:22" s="149" customFormat="1" ht="21">
      <c r="A13" s="187" t="s">
        <v>164</v>
      </c>
      <c r="B13" s="182"/>
      <c r="C13" s="182">
        <v>26</v>
      </c>
      <c r="D13" s="182">
        <v>0</v>
      </c>
      <c r="E13" s="188">
        <f>D13+C13</f>
        <v>26</v>
      </c>
      <c r="F13" s="182"/>
      <c r="G13" s="182"/>
      <c r="H13" s="182"/>
      <c r="I13" s="182"/>
      <c r="J13" s="182"/>
      <c r="K13" s="182"/>
      <c r="L13" s="182"/>
      <c r="M13" s="182"/>
      <c r="N13" s="183">
        <f t="shared" si="0"/>
        <v>26</v>
      </c>
      <c r="O13" s="183">
        <f t="shared" si="0"/>
        <v>0</v>
      </c>
      <c r="P13" s="183">
        <f t="shared" si="1"/>
        <v>26</v>
      </c>
      <c r="Q13" s="184"/>
      <c r="R13" s="189"/>
      <c r="S13" s="182"/>
      <c r="T13" s="182"/>
      <c r="U13" s="182"/>
      <c r="V13" s="182"/>
    </row>
    <row r="14" spans="1:22" s="149" customFormat="1" ht="21">
      <c r="A14" s="187" t="s">
        <v>165</v>
      </c>
      <c r="B14" s="182"/>
      <c r="C14" s="182">
        <v>12</v>
      </c>
      <c r="D14" s="182">
        <v>13</v>
      </c>
      <c r="E14" s="188">
        <f>D14+C14</f>
        <v>25</v>
      </c>
      <c r="F14" s="182"/>
      <c r="G14" s="182"/>
      <c r="H14" s="182"/>
      <c r="I14" s="182"/>
      <c r="J14" s="182"/>
      <c r="K14" s="182"/>
      <c r="L14" s="182"/>
      <c r="M14" s="182"/>
      <c r="N14" s="183">
        <f t="shared" si="0"/>
        <v>12</v>
      </c>
      <c r="O14" s="183">
        <f t="shared" si="0"/>
        <v>13</v>
      </c>
      <c r="P14" s="183">
        <f t="shared" si="1"/>
        <v>25</v>
      </c>
      <c r="Q14" s="184"/>
      <c r="R14" s="189"/>
      <c r="S14" s="182"/>
      <c r="T14" s="182"/>
      <c r="U14" s="182"/>
      <c r="V14" s="182"/>
    </row>
    <row r="15" spans="1:22" s="149" customFormat="1" ht="21">
      <c r="A15" s="187" t="s">
        <v>166</v>
      </c>
      <c r="B15" s="182"/>
      <c r="C15" s="182">
        <v>21</v>
      </c>
      <c r="D15" s="182">
        <v>5</v>
      </c>
      <c r="E15" s="188">
        <f>D15+C15</f>
        <v>26</v>
      </c>
      <c r="F15" s="182"/>
      <c r="G15" s="182"/>
      <c r="H15" s="182"/>
      <c r="I15" s="182"/>
      <c r="J15" s="182"/>
      <c r="K15" s="182"/>
      <c r="L15" s="182"/>
      <c r="M15" s="182"/>
      <c r="N15" s="183">
        <f t="shared" si="0"/>
        <v>21</v>
      </c>
      <c r="O15" s="183">
        <f t="shared" si="0"/>
        <v>5</v>
      </c>
      <c r="P15" s="183">
        <f t="shared" si="1"/>
        <v>26</v>
      </c>
      <c r="Q15" s="184"/>
      <c r="R15" s="189"/>
      <c r="S15" s="182"/>
      <c r="T15" s="182"/>
      <c r="U15" s="182"/>
      <c r="V15" s="182"/>
    </row>
    <row r="16" spans="1:22" s="149" customFormat="1" ht="21">
      <c r="A16" s="187" t="s">
        <v>167</v>
      </c>
      <c r="B16" s="182"/>
      <c r="C16" s="182">
        <v>13</v>
      </c>
      <c r="D16" s="182">
        <v>17</v>
      </c>
      <c r="E16" s="188">
        <f>D16+C16</f>
        <v>30</v>
      </c>
      <c r="F16" s="182"/>
      <c r="G16" s="182"/>
      <c r="H16" s="182"/>
      <c r="I16" s="182"/>
      <c r="J16" s="182"/>
      <c r="K16" s="182"/>
      <c r="L16" s="182"/>
      <c r="M16" s="182"/>
      <c r="N16" s="183">
        <f t="shared" si="0"/>
        <v>13</v>
      </c>
      <c r="O16" s="183">
        <f t="shared" si="0"/>
        <v>17</v>
      </c>
      <c r="P16" s="183">
        <f t="shared" si="1"/>
        <v>30</v>
      </c>
      <c r="Q16" s="184"/>
      <c r="R16" s="189"/>
      <c r="S16" s="182"/>
      <c r="T16" s="182"/>
      <c r="U16" s="182"/>
      <c r="V16" s="182"/>
    </row>
    <row r="17" spans="1:22" s="149" customFormat="1" ht="21">
      <c r="A17" s="190" t="s">
        <v>168</v>
      </c>
      <c r="B17" s="182"/>
      <c r="C17" s="182">
        <v>16</v>
      </c>
      <c r="D17" s="182">
        <v>9</v>
      </c>
      <c r="E17" s="188">
        <f>D17+C17</f>
        <v>25</v>
      </c>
      <c r="F17" s="182"/>
      <c r="G17" s="182"/>
      <c r="H17" s="182"/>
      <c r="I17" s="182"/>
      <c r="J17" s="182"/>
      <c r="K17" s="182"/>
      <c r="L17" s="182"/>
      <c r="M17" s="182"/>
      <c r="N17" s="183">
        <f t="shared" si="0"/>
        <v>16</v>
      </c>
      <c r="O17" s="183">
        <f t="shared" si="0"/>
        <v>9</v>
      </c>
      <c r="P17" s="183">
        <f t="shared" si="1"/>
        <v>25</v>
      </c>
      <c r="Q17" s="184"/>
      <c r="R17" s="189"/>
      <c r="S17" s="182"/>
      <c r="T17" s="182"/>
      <c r="U17" s="182"/>
      <c r="V17" s="182"/>
    </row>
    <row r="18" spans="1:22" s="149" customFormat="1" ht="42">
      <c r="A18" s="22" t="s">
        <v>169</v>
      </c>
      <c r="B18" s="182">
        <v>229</v>
      </c>
      <c r="C18" s="182">
        <f>SUM(C19:C24)</f>
        <v>103</v>
      </c>
      <c r="D18" s="182">
        <f>SUM(D19:D24)</f>
        <v>173</v>
      </c>
      <c r="E18" s="188">
        <f>SUM(E19:E24)</f>
        <v>276</v>
      </c>
      <c r="F18" s="182"/>
      <c r="G18" s="182"/>
      <c r="H18" s="182"/>
      <c r="I18" s="182"/>
      <c r="J18" s="182"/>
      <c r="K18" s="182"/>
      <c r="L18" s="182"/>
      <c r="M18" s="182"/>
      <c r="N18" s="183">
        <f>SUM(N19:N24)</f>
        <v>103</v>
      </c>
      <c r="O18" s="183">
        <f>SUM(O19:O24)</f>
        <v>173</v>
      </c>
      <c r="P18" s="183">
        <f>SUM(P19:P24)</f>
        <v>276</v>
      </c>
      <c r="Q18" s="184">
        <f>P18/B18*100</f>
        <v>120.5240174672489</v>
      </c>
      <c r="R18" s="189">
        <v>206100</v>
      </c>
      <c r="S18" s="60">
        <v>192815</v>
      </c>
      <c r="T18" s="185">
        <f>U18-S18</f>
        <v>0</v>
      </c>
      <c r="U18" s="186">
        <v>192815</v>
      </c>
      <c r="V18" s="184">
        <f>U18/R18*100</f>
        <v>93.55409995147987</v>
      </c>
    </row>
    <row r="19" spans="1:22" s="149" customFormat="1" ht="21">
      <c r="A19" s="187" t="s">
        <v>163</v>
      </c>
      <c r="B19" s="182"/>
      <c r="C19" s="182"/>
      <c r="D19" s="182">
        <v>60</v>
      </c>
      <c r="E19" s="188">
        <f aca="true" t="shared" si="2" ref="E19:E28">D19+C19</f>
        <v>60</v>
      </c>
      <c r="F19" s="182"/>
      <c r="G19" s="182"/>
      <c r="H19" s="182"/>
      <c r="I19" s="182"/>
      <c r="J19" s="182"/>
      <c r="K19" s="182"/>
      <c r="L19" s="182"/>
      <c r="M19" s="182"/>
      <c r="N19" s="183">
        <f aca="true" t="shared" si="3" ref="N19:O24">C19+F19+H19+J19+L19</f>
        <v>0</v>
      </c>
      <c r="O19" s="183">
        <f t="shared" si="3"/>
        <v>60</v>
      </c>
      <c r="P19" s="183">
        <f>O19+N19</f>
        <v>60</v>
      </c>
      <c r="Q19" s="184"/>
      <c r="R19" s="189"/>
      <c r="S19" s="182"/>
      <c r="T19" s="182"/>
      <c r="U19" s="182"/>
      <c r="V19" s="182"/>
    </row>
    <row r="20" spans="1:22" s="149" customFormat="1" ht="21">
      <c r="A20" s="187" t="s">
        <v>170</v>
      </c>
      <c r="B20" s="182"/>
      <c r="C20" s="182">
        <v>18</v>
      </c>
      <c r="D20" s="182">
        <v>42</v>
      </c>
      <c r="E20" s="188">
        <f t="shared" si="2"/>
        <v>60</v>
      </c>
      <c r="F20" s="182"/>
      <c r="G20" s="182"/>
      <c r="H20" s="182"/>
      <c r="I20" s="182"/>
      <c r="J20" s="182"/>
      <c r="K20" s="182"/>
      <c r="L20" s="182"/>
      <c r="M20" s="182"/>
      <c r="N20" s="183">
        <f t="shared" si="3"/>
        <v>18</v>
      </c>
      <c r="O20" s="183">
        <f t="shared" si="3"/>
        <v>42</v>
      </c>
      <c r="P20" s="183">
        <f>O20+N20</f>
        <v>60</v>
      </c>
      <c r="Q20" s="184"/>
      <c r="R20" s="189"/>
      <c r="S20" s="182"/>
      <c r="T20" s="182"/>
      <c r="U20" s="182"/>
      <c r="V20" s="182"/>
    </row>
    <row r="21" spans="1:22" s="149" customFormat="1" ht="21">
      <c r="A21" s="187" t="s">
        <v>171</v>
      </c>
      <c r="B21" s="182"/>
      <c r="C21" s="182">
        <v>60</v>
      </c>
      <c r="D21" s="182">
        <v>0</v>
      </c>
      <c r="E21" s="188">
        <f t="shared" si="2"/>
        <v>60</v>
      </c>
      <c r="F21" s="182"/>
      <c r="G21" s="182"/>
      <c r="H21" s="182"/>
      <c r="I21" s="182"/>
      <c r="J21" s="182"/>
      <c r="K21" s="182"/>
      <c r="L21" s="182"/>
      <c r="M21" s="182"/>
      <c r="N21" s="183">
        <f>C21+F21+H21+J21+L21</f>
        <v>60</v>
      </c>
      <c r="O21" s="183">
        <f t="shared" si="3"/>
        <v>0</v>
      </c>
      <c r="P21" s="183">
        <f>O21+N21</f>
        <v>60</v>
      </c>
      <c r="Q21" s="184"/>
      <c r="R21" s="189"/>
      <c r="S21" s="182"/>
      <c r="T21" s="182"/>
      <c r="U21" s="182"/>
      <c r="V21" s="182"/>
    </row>
    <row r="22" spans="1:22" s="149" customFormat="1" ht="21">
      <c r="A22" s="187" t="s">
        <v>172</v>
      </c>
      <c r="B22" s="182"/>
      <c r="C22" s="182">
        <v>11</v>
      </c>
      <c r="D22" s="182">
        <v>19</v>
      </c>
      <c r="E22" s="188">
        <f t="shared" si="2"/>
        <v>30</v>
      </c>
      <c r="F22" s="182"/>
      <c r="G22" s="182"/>
      <c r="H22" s="182"/>
      <c r="I22" s="182"/>
      <c r="J22" s="182"/>
      <c r="K22" s="182"/>
      <c r="L22" s="182"/>
      <c r="M22" s="182"/>
      <c r="N22" s="183">
        <f t="shared" si="3"/>
        <v>11</v>
      </c>
      <c r="O22" s="183">
        <f t="shared" si="3"/>
        <v>19</v>
      </c>
      <c r="P22" s="183">
        <f>O22+N22</f>
        <v>30</v>
      </c>
      <c r="Q22" s="184"/>
      <c r="R22" s="189"/>
      <c r="S22" s="182"/>
      <c r="T22" s="182"/>
      <c r="U22" s="182"/>
      <c r="V22" s="182"/>
    </row>
    <row r="23" spans="1:22" s="149" customFormat="1" ht="21">
      <c r="A23" s="187" t="s">
        <v>173</v>
      </c>
      <c r="B23" s="182"/>
      <c r="C23" s="182">
        <v>0</v>
      </c>
      <c r="D23" s="182">
        <v>36</v>
      </c>
      <c r="E23" s="188">
        <f t="shared" si="2"/>
        <v>36</v>
      </c>
      <c r="F23" s="182"/>
      <c r="G23" s="182"/>
      <c r="H23" s="182"/>
      <c r="I23" s="182"/>
      <c r="J23" s="182"/>
      <c r="K23" s="182"/>
      <c r="L23" s="182"/>
      <c r="M23" s="182"/>
      <c r="N23" s="183">
        <f t="shared" si="3"/>
        <v>0</v>
      </c>
      <c r="O23" s="183">
        <f t="shared" si="3"/>
        <v>36</v>
      </c>
      <c r="P23" s="183">
        <f>O23+N23</f>
        <v>36</v>
      </c>
      <c r="Q23" s="184"/>
      <c r="R23" s="189"/>
      <c r="S23" s="182"/>
      <c r="T23" s="182"/>
      <c r="U23" s="182"/>
      <c r="V23" s="182"/>
    </row>
    <row r="24" spans="1:22" s="149" customFormat="1" ht="21">
      <c r="A24" s="187" t="s">
        <v>174</v>
      </c>
      <c r="B24" s="182"/>
      <c r="C24" s="182">
        <v>14</v>
      </c>
      <c r="D24" s="182">
        <v>16</v>
      </c>
      <c r="E24" s="188">
        <f t="shared" si="2"/>
        <v>30</v>
      </c>
      <c r="F24" s="182"/>
      <c r="G24" s="182"/>
      <c r="H24" s="182"/>
      <c r="I24" s="182"/>
      <c r="J24" s="182"/>
      <c r="K24" s="182"/>
      <c r="L24" s="182"/>
      <c r="M24" s="182"/>
      <c r="N24" s="183">
        <f t="shared" si="3"/>
        <v>14</v>
      </c>
      <c r="O24" s="183">
        <f t="shared" si="3"/>
        <v>16</v>
      </c>
      <c r="P24" s="183">
        <f>O24+N24</f>
        <v>30</v>
      </c>
      <c r="Q24" s="184"/>
      <c r="R24" s="189"/>
      <c r="S24" s="182"/>
      <c r="T24" s="182"/>
      <c r="U24" s="182"/>
      <c r="V24" s="182"/>
    </row>
    <row r="25" spans="1:22" s="149" customFormat="1" ht="21">
      <c r="A25" s="187"/>
      <c r="B25" s="182"/>
      <c r="C25" s="182"/>
      <c r="D25" s="182"/>
      <c r="E25" s="188"/>
      <c r="F25" s="182"/>
      <c r="G25" s="182"/>
      <c r="H25" s="182"/>
      <c r="I25" s="182"/>
      <c r="J25" s="182"/>
      <c r="K25" s="182"/>
      <c r="L25" s="182"/>
      <c r="M25" s="182"/>
      <c r="N25" s="183"/>
      <c r="O25" s="183"/>
      <c r="P25" s="183"/>
      <c r="Q25" s="184"/>
      <c r="R25" s="189"/>
      <c r="S25" s="182"/>
      <c r="T25" s="182"/>
      <c r="U25" s="182"/>
      <c r="V25" s="182"/>
    </row>
    <row r="26" spans="1:22" s="151" customFormat="1" ht="21">
      <c r="A26" s="181" t="s">
        <v>34</v>
      </c>
      <c r="B26" s="183">
        <v>280</v>
      </c>
      <c r="C26" s="191">
        <f>SUM(C27:C28)</f>
        <v>117</v>
      </c>
      <c r="D26" s="191">
        <f>SUM(D27:D28)</f>
        <v>166</v>
      </c>
      <c r="E26" s="191">
        <f>SUM(E27:E28)</f>
        <v>283</v>
      </c>
      <c r="F26" s="183"/>
      <c r="G26" s="183"/>
      <c r="H26" s="183"/>
      <c r="I26" s="183"/>
      <c r="J26" s="183"/>
      <c r="K26" s="183"/>
      <c r="L26" s="183"/>
      <c r="M26" s="183"/>
      <c r="N26" s="183">
        <f>SUM(N27:N28)</f>
        <v>117</v>
      </c>
      <c r="O26" s="183">
        <f>SUM(O27:O28)</f>
        <v>166</v>
      </c>
      <c r="P26" s="183">
        <f>SUM(P27:P28)</f>
        <v>283</v>
      </c>
      <c r="Q26" s="192">
        <f>P26/B26*100</f>
        <v>101.07142857142857</v>
      </c>
      <c r="R26" s="59">
        <v>32200</v>
      </c>
      <c r="S26" s="183">
        <v>32200</v>
      </c>
      <c r="T26" s="185">
        <f>U26-S26</f>
        <v>0</v>
      </c>
      <c r="U26" s="59">
        <v>32200</v>
      </c>
      <c r="V26" s="183">
        <v>100</v>
      </c>
    </row>
    <row r="27" spans="1:22" s="149" customFormat="1" ht="21">
      <c r="A27" s="187" t="s">
        <v>175</v>
      </c>
      <c r="B27" s="182">
        <v>130</v>
      </c>
      <c r="C27" s="182">
        <v>53</v>
      </c>
      <c r="D27" s="182">
        <v>78</v>
      </c>
      <c r="E27" s="182">
        <f t="shared" si="2"/>
        <v>131</v>
      </c>
      <c r="F27" s="182"/>
      <c r="G27" s="182"/>
      <c r="H27" s="182"/>
      <c r="I27" s="182"/>
      <c r="J27" s="182"/>
      <c r="K27" s="182"/>
      <c r="L27" s="182"/>
      <c r="M27" s="182"/>
      <c r="N27" s="183">
        <v>53</v>
      </c>
      <c r="O27" s="183">
        <v>78</v>
      </c>
      <c r="P27" s="183">
        <f>SUM(N27:O27)</f>
        <v>131</v>
      </c>
      <c r="Q27" s="182"/>
      <c r="R27" s="182"/>
      <c r="S27" s="182"/>
      <c r="T27" s="182"/>
      <c r="U27" s="182"/>
      <c r="V27" s="182"/>
    </row>
    <row r="28" spans="1:22" s="149" customFormat="1" ht="21">
      <c r="A28" s="187" t="s">
        <v>176</v>
      </c>
      <c r="B28" s="182">
        <v>150</v>
      </c>
      <c r="C28" s="182">
        <v>64</v>
      </c>
      <c r="D28" s="182">
        <v>88</v>
      </c>
      <c r="E28" s="182">
        <f t="shared" si="2"/>
        <v>152</v>
      </c>
      <c r="F28" s="182"/>
      <c r="G28" s="182"/>
      <c r="H28" s="182"/>
      <c r="I28" s="182"/>
      <c r="J28" s="182"/>
      <c r="K28" s="182"/>
      <c r="L28" s="182"/>
      <c r="M28" s="182"/>
      <c r="N28" s="183">
        <v>64</v>
      </c>
      <c r="O28" s="183">
        <v>88</v>
      </c>
      <c r="P28" s="183">
        <f>SUM(N28:O28)</f>
        <v>152</v>
      </c>
      <c r="Q28" s="182"/>
      <c r="R28" s="182"/>
      <c r="S28" s="182"/>
      <c r="T28" s="182"/>
      <c r="U28" s="182"/>
      <c r="V28" s="182"/>
    </row>
    <row r="29" spans="1:22" ht="21">
      <c r="A29" s="193"/>
      <c r="B29" s="193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3"/>
      <c r="O29" s="183"/>
      <c r="P29" s="183"/>
      <c r="Q29" s="193"/>
      <c r="R29" s="193"/>
      <c r="S29" s="193"/>
      <c r="T29" s="193"/>
      <c r="U29" s="193"/>
      <c r="V29" s="193"/>
    </row>
    <row r="30" spans="1:22" s="151" customFormat="1" ht="21">
      <c r="A30" s="181" t="s">
        <v>36</v>
      </c>
      <c r="B30" s="183">
        <f>SUM(B31:B33)</f>
        <v>480</v>
      </c>
      <c r="C30" s="183">
        <f>SUM(C31:C33)</f>
        <v>250</v>
      </c>
      <c r="D30" s="183">
        <f>SUM(D31:D33)</f>
        <v>457</v>
      </c>
      <c r="E30" s="183">
        <f>SUM(E31:E33)</f>
        <v>707</v>
      </c>
      <c r="F30" s="183"/>
      <c r="G30" s="183"/>
      <c r="H30" s="183"/>
      <c r="I30" s="183"/>
      <c r="J30" s="183"/>
      <c r="K30" s="183"/>
      <c r="L30" s="183"/>
      <c r="M30" s="183"/>
      <c r="N30" s="183">
        <f>SUM(N31:N33)</f>
        <v>250</v>
      </c>
      <c r="O30" s="183">
        <f>SUM(O31:O33)</f>
        <v>457</v>
      </c>
      <c r="P30" s="183">
        <f>SUM(P31:P33)</f>
        <v>707</v>
      </c>
      <c r="Q30" s="192">
        <f>P30/B30*100</f>
        <v>147.29166666666666</v>
      </c>
      <c r="R30" s="59">
        <v>116400</v>
      </c>
      <c r="S30" s="183">
        <v>116400</v>
      </c>
      <c r="T30" s="185">
        <f>U30-S30</f>
        <v>0</v>
      </c>
      <c r="U30" s="59">
        <v>116400</v>
      </c>
      <c r="V30" s="183">
        <v>100</v>
      </c>
    </row>
    <row r="31" spans="1:22" s="149" customFormat="1" ht="21">
      <c r="A31" s="187" t="s">
        <v>177</v>
      </c>
      <c r="B31" s="182">
        <v>100</v>
      </c>
      <c r="C31" s="182">
        <v>65</v>
      </c>
      <c r="D31" s="182">
        <v>75</v>
      </c>
      <c r="E31" s="182">
        <f>SUM(C31:D31)</f>
        <v>140</v>
      </c>
      <c r="F31" s="194"/>
      <c r="G31" s="194"/>
      <c r="H31" s="182"/>
      <c r="I31" s="182"/>
      <c r="J31" s="182"/>
      <c r="K31" s="182"/>
      <c r="L31" s="182"/>
      <c r="M31" s="182"/>
      <c r="N31" s="183">
        <f aca="true" t="shared" si="4" ref="N31:O33">C31+F31+H31+J31+L31</f>
        <v>65</v>
      </c>
      <c r="O31" s="183">
        <f t="shared" si="4"/>
        <v>75</v>
      </c>
      <c r="P31" s="183">
        <f>O31+N31</f>
        <v>140</v>
      </c>
      <c r="Q31" s="182"/>
      <c r="R31" s="182"/>
      <c r="S31" s="182"/>
      <c r="T31" s="182"/>
      <c r="U31" s="182"/>
      <c r="V31" s="182"/>
    </row>
    <row r="32" spans="1:22" s="149" customFormat="1" ht="21">
      <c r="A32" s="187" t="s">
        <v>178</v>
      </c>
      <c r="B32" s="182">
        <v>280</v>
      </c>
      <c r="C32" s="182">
        <v>107</v>
      </c>
      <c r="D32" s="182">
        <v>325</v>
      </c>
      <c r="E32" s="182">
        <f>SUM(C32:D32)</f>
        <v>432</v>
      </c>
      <c r="F32" s="194"/>
      <c r="G32" s="194"/>
      <c r="H32" s="182"/>
      <c r="I32" s="182"/>
      <c r="J32" s="182"/>
      <c r="K32" s="182"/>
      <c r="L32" s="182"/>
      <c r="M32" s="182"/>
      <c r="N32" s="183">
        <f t="shared" si="4"/>
        <v>107</v>
      </c>
      <c r="O32" s="183">
        <f t="shared" si="4"/>
        <v>325</v>
      </c>
      <c r="P32" s="183">
        <f>O32+N32</f>
        <v>432</v>
      </c>
      <c r="Q32" s="182"/>
      <c r="R32" s="182"/>
      <c r="S32" s="182"/>
      <c r="T32" s="182"/>
      <c r="U32" s="182"/>
      <c r="V32" s="182"/>
    </row>
    <row r="33" spans="1:22" s="149" customFormat="1" ht="21">
      <c r="A33" s="190" t="s">
        <v>179</v>
      </c>
      <c r="B33" s="182">
        <v>100</v>
      </c>
      <c r="C33" s="182">
        <v>78</v>
      </c>
      <c r="D33" s="182">
        <v>57</v>
      </c>
      <c r="E33" s="182">
        <f>SUM(C33:D33)</f>
        <v>135</v>
      </c>
      <c r="F33" s="194"/>
      <c r="G33" s="194"/>
      <c r="H33" s="182"/>
      <c r="I33" s="182"/>
      <c r="J33" s="182"/>
      <c r="K33" s="182"/>
      <c r="L33" s="182"/>
      <c r="M33" s="182"/>
      <c r="N33" s="183">
        <f t="shared" si="4"/>
        <v>78</v>
      </c>
      <c r="O33" s="183">
        <f t="shared" si="4"/>
        <v>57</v>
      </c>
      <c r="P33" s="183">
        <f>O33+N33</f>
        <v>135</v>
      </c>
      <c r="Q33" s="182"/>
      <c r="R33" s="182"/>
      <c r="S33" s="182"/>
      <c r="T33" s="182"/>
      <c r="U33" s="182"/>
      <c r="V33" s="182"/>
    </row>
    <row r="34" spans="1:22" s="151" customFormat="1" ht="21">
      <c r="A34" s="181" t="s">
        <v>41</v>
      </c>
      <c r="B34" s="183">
        <v>68</v>
      </c>
      <c r="C34" s="183">
        <f>SUM(C35:C36)</f>
        <v>257</v>
      </c>
      <c r="D34" s="183">
        <f>SUM(D35:D36)</f>
        <v>205</v>
      </c>
      <c r="E34" s="183">
        <f>SUM(E35:E36)</f>
        <v>462</v>
      </c>
      <c r="F34" s="183"/>
      <c r="G34" s="183"/>
      <c r="H34" s="183"/>
      <c r="I34" s="183"/>
      <c r="J34" s="183"/>
      <c r="K34" s="183"/>
      <c r="L34" s="183"/>
      <c r="M34" s="183"/>
      <c r="N34" s="183">
        <f>SUM(N35:N36)</f>
        <v>257</v>
      </c>
      <c r="O34" s="183">
        <f>SUM(O35:O36)</f>
        <v>205</v>
      </c>
      <c r="P34" s="183">
        <f>O34+N34</f>
        <v>462</v>
      </c>
      <c r="Q34" s="192">
        <f>P34/B34*100</f>
        <v>679.4117647058823</v>
      </c>
      <c r="R34" s="59">
        <v>54400</v>
      </c>
      <c r="S34" s="183">
        <v>54400</v>
      </c>
      <c r="T34" s="195">
        <f>U34-S34</f>
        <v>0</v>
      </c>
      <c r="U34" s="59">
        <v>54400</v>
      </c>
      <c r="V34" s="183">
        <v>100</v>
      </c>
    </row>
    <row r="35" spans="1:22" s="149" customFormat="1" ht="42">
      <c r="A35" s="187" t="s">
        <v>180</v>
      </c>
      <c r="B35" s="182"/>
      <c r="C35" s="182">
        <v>199</v>
      </c>
      <c r="D35" s="182">
        <v>153</v>
      </c>
      <c r="E35" s="182">
        <f>SUM(C35:D35)</f>
        <v>352</v>
      </c>
      <c r="F35" s="182"/>
      <c r="G35" s="182"/>
      <c r="H35" s="182"/>
      <c r="I35" s="182"/>
      <c r="J35" s="182"/>
      <c r="K35" s="182"/>
      <c r="L35" s="182"/>
      <c r="M35" s="182"/>
      <c r="N35" s="183">
        <v>199</v>
      </c>
      <c r="O35" s="183">
        <v>153</v>
      </c>
      <c r="P35" s="183">
        <f>O35+N35</f>
        <v>352</v>
      </c>
      <c r="Q35" s="182"/>
      <c r="R35" s="182"/>
      <c r="S35" s="182"/>
      <c r="T35" s="182"/>
      <c r="U35" s="182"/>
      <c r="V35" s="182"/>
    </row>
    <row r="36" spans="1:22" s="149" customFormat="1" ht="42">
      <c r="A36" s="187" t="s">
        <v>181</v>
      </c>
      <c r="B36" s="182">
        <v>110</v>
      </c>
      <c r="C36" s="182">
        <v>58</v>
      </c>
      <c r="D36" s="182">
        <v>52</v>
      </c>
      <c r="E36" s="182">
        <f>SUM(C36:D36)</f>
        <v>110</v>
      </c>
      <c r="F36" s="182"/>
      <c r="G36" s="182"/>
      <c r="H36" s="182"/>
      <c r="I36" s="182"/>
      <c r="J36" s="182"/>
      <c r="K36" s="182"/>
      <c r="L36" s="182"/>
      <c r="M36" s="182"/>
      <c r="N36" s="183">
        <v>58</v>
      </c>
      <c r="O36" s="183">
        <v>52</v>
      </c>
      <c r="P36" s="183">
        <v>110</v>
      </c>
      <c r="Q36" s="182"/>
      <c r="R36" s="182"/>
      <c r="S36" s="182"/>
      <c r="T36" s="182"/>
      <c r="U36" s="182"/>
      <c r="V36" s="182"/>
    </row>
    <row r="37" spans="1:22" s="149" customFormat="1" ht="21">
      <c r="A37" s="187" t="s">
        <v>182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3"/>
      <c r="O37" s="183"/>
      <c r="P37" s="183"/>
      <c r="Q37" s="182"/>
      <c r="R37" s="182"/>
      <c r="S37" s="182"/>
      <c r="T37" s="182"/>
      <c r="U37" s="182"/>
      <c r="V37" s="182"/>
    </row>
    <row r="38" spans="1:22" s="149" customFormat="1" ht="21">
      <c r="A38" s="187" t="s">
        <v>183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3"/>
      <c r="O38" s="183"/>
      <c r="P38" s="183"/>
      <c r="Q38" s="182"/>
      <c r="R38" s="182"/>
      <c r="S38" s="182"/>
      <c r="T38" s="182"/>
      <c r="U38" s="182"/>
      <c r="V38" s="182"/>
    </row>
    <row r="39" spans="1:22" s="149" customFormat="1" ht="21">
      <c r="A39" s="187" t="s">
        <v>184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3"/>
      <c r="O39" s="183"/>
      <c r="P39" s="183"/>
      <c r="Q39" s="182"/>
      <c r="R39" s="182"/>
      <c r="S39" s="182"/>
      <c r="T39" s="182"/>
      <c r="U39" s="182"/>
      <c r="V39" s="182"/>
    </row>
    <row r="40" spans="1:22" s="149" customFormat="1" ht="21">
      <c r="A40" s="187" t="s">
        <v>185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183"/>
      <c r="P40" s="183"/>
      <c r="Q40" s="182"/>
      <c r="R40" s="182"/>
      <c r="S40" s="182"/>
      <c r="T40" s="182"/>
      <c r="U40" s="182"/>
      <c r="V40" s="182"/>
    </row>
    <row r="41" spans="1:22" s="149" customFormat="1" ht="21">
      <c r="A41" s="181" t="s">
        <v>46</v>
      </c>
      <c r="B41" s="182">
        <f>SUM(B42:B43)</f>
        <v>70</v>
      </c>
      <c r="C41" s="182">
        <f>SUM(C42:C43)</f>
        <v>33</v>
      </c>
      <c r="D41" s="182">
        <f>SUM(D42:D43)</f>
        <v>49</v>
      </c>
      <c r="E41" s="182">
        <f>SUM(E42:E43)</f>
        <v>82</v>
      </c>
      <c r="F41" s="182"/>
      <c r="G41" s="182"/>
      <c r="H41" s="182"/>
      <c r="I41" s="182"/>
      <c r="J41" s="182"/>
      <c r="K41" s="182"/>
      <c r="L41" s="182"/>
      <c r="M41" s="182"/>
      <c r="N41" s="183">
        <f>SUM(N42:N43)</f>
        <v>33</v>
      </c>
      <c r="O41" s="183">
        <f>SUM(O42:O43)</f>
        <v>49</v>
      </c>
      <c r="P41" s="183">
        <f>SUM(P42:P43)</f>
        <v>82</v>
      </c>
      <c r="Q41" s="182"/>
      <c r="R41" s="182"/>
      <c r="S41" s="182"/>
      <c r="T41" s="182"/>
      <c r="U41" s="182"/>
      <c r="V41" s="182"/>
    </row>
    <row r="42" spans="1:22" s="149" customFormat="1" ht="21">
      <c r="A42" s="196" t="s">
        <v>186</v>
      </c>
      <c r="B42" s="182">
        <v>20</v>
      </c>
      <c r="C42" s="182">
        <v>5</v>
      </c>
      <c r="D42" s="182">
        <v>17</v>
      </c>
      <c r="E42" s="182">
        <f>SUM(C42:D42)</f>
        <v>22</v>
      </c>
      <c r="F42" s="182"/>
      <c r="G42" s="182"/>
      <c r="H42" s="182"/>
      <c r="I42" s="182"/>
      <c r="J42" s="182"/>
      <c r="K42" s="182"/>
      <c r="L42" s="182"/>
      <c r="M42" s="182"/>
      <c r="N42" s="183">
        <v>5</v>
      </c>
      <c r="O42" s="183">
        <v>17</v>
      </c>
      <c r="P42" s="183">
        <v>22</v>
      </c>
      <c r="Q42" s="182"/>
      <c r="R42" s="182"/>
      <c r="S42" s="182"/>
      <c r="T42" s="182"/>
      <c r="U42" s="182"/>
      <c r="V42" s="182"/>
    </row>
    <row r="43" spans="1:22" s="149" customFormat="1" ht="21">
      <c r="A43" s="196" t="s">
        <v>187</v>
      </c>
      <c r="B43" s="182">
        <v>50</v>
      </c>
      <c r="C43" s="182">
        <v>28</v>
      </c>
      <c r="D43" s="182">
        <v>32</v>
      </c>
      <c r="E43" s="182">
        <f>SUM(C43:D43)</f>
        <v>60</v>
      </c>
      <c r="F43" s="182"/>
      <c r="G43" s="182"/>
      <c r="H43" s="182"/>
      <c r="I43" s="182"/>
      <c r="J43" s="182"/>
      <c r="K43" s="182"/>
      <c r="L43" s="182"/>
      <c r="M43" s="182"/>
      <c r="N43" s="183">
        <v>28</v>
      </c>
      <c r="O43" s="183">
        <v>32</v>
      </c>
      <c r="P43" s="183">
        <v>60</v>
      </c>
      <c r="Q43" s="182"/>
      <c r="R43" s="182"/>
      <c r="S43" s="182"/>
      <c r="T43" s="182"/>
      <c r="U43" s="182"/>
      <c r="V43" s="182"/>
    </row>
    <row r="44" spans="1:22" s="149" customFormat="1" ht="21">
      <c r="A44" s="181" t="s">
        <v>47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  <c r="O44" s="183"/>
      <c r="P44" s="183"/>
      <c r="Q44" s="182"/>
      <c r="R44" s="182"/>
      <c r="S44" s="182"/>
      <c r="T44" s="182"/>
      <c r="U44" s="182"/>
      <c r="V44" s="182"/>
    </row>
    <row r="45" spans="1:22" s="149" customFormat="1" ht="21">
      <c r="A45" s="181" t="s">
        <v>188</v>
      </c>
      <c r="B45" s="182">
        <v>45</v>
      </c>
      <c r="C45" s="182">
        <v>24</v>
      </c>
      <c r="D45" s="182">
        <v>21</v>
      </c>
      <c r="E45" s="182">
        <f>SUM(C45:D45)</f>
        <v>45</v>
      </c>
      <c r="F45" s="182"/>
      <c r="G45" s="182"/>
      <c r="H45" s="182"/>
      <c r="I45" s="182"/>
      <c r="J45" s="182"/>
      <c r="K45" s="182"/>
      <c r="L45" s="182"/>
      <c r="M45" s="182"/>
      <c r="N45" s="183">
        <f>C45+F45+H45+J45+L45</f>
        <v>24</v>
      </c>
      <c r="O45" s="183">
        <f>D45+G45+I45+K45+M45</f>
        <v>21</v>
      </c>
      <c r="P45" s="183">
        <f>SUM(N45:O45)</f>
        <v>45</v>
      </c>
      <c r="Q45" s="184">
        <f>P45/B45*100</f>
        <v>100</v>
      </c>
      <c r="R45" s="182"/>
      <c r="S45" s="182"/>
      <c r="T45" s="182"/>
      <c r="U45" s="182"/>
      <c r="V45" s="182"/>
    </row>
    <row r="46" spans="1:22" ht="42">
      <c r="A46" s="197" t="s">
        <v>48</v>
      </c>
      <c r="B46" s="198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  <c r="O46" s="183"/>
      <c r="P46" s="183"/>
      <c r="Q46" s="193"/>
      <c r="R46" s="193"/>
      <c r="S46" s="193"/>
      <c r="T46" s="193"/>
      <c r="U46" s="193"/>
      <c r="V46" s="193"/>
    </row>
    <row r="47" spans="1:22" s="149" customFormat="1" ht="21">
      <c r="A47" s="181" t="s">
        <v>49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  <c r="O47" s="183"/>
      <c r="P47" s="183"/>
      <c r="Q47" s="182"/>
      <c r="R47" s="182"/>
      <c r="S47" s="182"/>
      <c r="T47" s="182"/>
      <c r="U47" s="182"/>
      <c r="V47" s="182"/>
    </row>
    <row r="48" spans="1:22" s="149" customFormat="1" ht="21">
      <c r="A48" s="181" t="s">
        <v>50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  <c r="O48" s="183"/>
      <c r="P48" s="183"/>
      <c r="Q48" s="182"/>
      <c r="R48" s="182"/>
      <c r="S48" s="182"/>
      <c r="T48" s="182"/>
      <c r="U48" s="182"/>
      <c r="V48" s="182"/>
    </row>
    <row r="49" spans="1:22" s="149" customFormat="1" ht="21">
      <c r="A49" s="181" t="s">
        <v>51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  <c r="O49" s="183"/>
      <c r="P49" s="183"/>
      <c r="Q49" s="182"/>
      <c r="R49" s="182"/>
      <c r="S49" s="182"/>
      <c r="T49" s="182"/>
      <c r="U49" s="182"/>
      <c r="V49" s="182"/>
    </row>
    <row r="50" spans="1:22" s="149" customFormat="1" ht="21">
      <c r="A50" s="181" t="s">
        <v>52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  <c r="O50" s="183"/>
      <c r="P50" s="183"/>
      <c r="Q50" s="182"/>
      <c r="R50" s="182"/>
      <c r="S50" s="182"/>
      <c r="T50" s="182"/>
      <c r="U50" s="182"/>
      <c r="V50" s="182"/>
    </row>
    <row r="51" spans="1:22" ht="42">
      <c r="A51" s="197" t="s">
        <v>53</v>
      </c>
      <c r="B51" s="198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83"/>
      <c r="P51" s="183"/>
      <c r="Q51" s="193"/>
      <c r="R51" s="193"/>
      <c r="S51" s="193"/>
      <c r="T51" s="193"/>
      <c r="U51" s="193"/>
      <c r="V51" s="193"/>
    </row>
    <row r="52" spans="1:22" s="149" customFormat="1" ht="42">
      <c r="A52" s="199" t="s">
        <v>54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3"/>
      <c r="O52" s="183"/>
      <c r="P52" s="183"/>
      <c r="Q52" s="182"/>
      <c r="R52" s="182"/>
      <c r="S52" s="182"/>
      <c r="T52" s="182"/>
      <c r="U52" s="182"/>
      <c r="V52" s="182"/>
    </row>
    <row r="53" spans="1:22" s="149" customFormat="1" ht="21">
      <c r="A53" s="181" t="s">
        <v>55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3"/>
      <c r="O53" s="183"/>
      <c r="P53" s="183"/>
      <c r="Q53" s="182"/>
      <c r="R53" s="182"/>
      <c r="S53" s="182"/>
      <c r="T53" s="182"/>
      <c r="U53" s="182"/>
      <c r="V53" s="182"/>
    </row>
    <row r="54" spans="1:22" s="149" customFormat="1" ht="21">
      <c r="A54" s="181" t="s">
        <v>56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  <c r="O54" s="183"/>
      <c r="P54" s="183"/>
      <c r="Q54" s="182"/>
      <c r="R54" s="182"/>
      <c r="S54" s="182"/>
      <c r="T54" s="182"/>
      <c r="U54" s="182"/>
      <c r="V54" s="182"/>
    </row>
    <row r="55" spans="1:22" s="149" customFormat="1" ht="21">
      <c r="A55" s="181" t="s">
        <v>57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3"/>
      <c r="O55" s="183"/>
      <c r="P55" s="183"/>
      <c r="Q55" s="182"/>
      <c r="R55" s="182"/>
      <c r="S55" s="182"/>
      <c r="T55" s="182"/>
      <c r="U55" s="182"/>
      <c r="V55" s="182"/>
    </row>
    <row r="56" spans="1:22" s="149" customFormat="1" ht="21">
      <c r="A56" s="199" t="s">
        <v>58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3"/>
      <c r="O56" s="183"/>
      <c r="P56" s="183"/>
      <c r="Q56" s="182"/>
      <c r="R56" s="182"/>
      <c r="S56" s="182"/>
      <c r="T56" s="182"/>
      <c r="U56" s="182"/>
      <c r="V56" s="182"/>
    </row>
    <row r="57" spans="1:22" ht="21">
      <c r="A57" s="200" t="s">
        <v>59</v>
      </c>
      <c r="B57" s="198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3"/>
      <c r="O57" s="183"/>
      <c r="P57" s="183"/>
      <c r="Q57" s="193"/>
      <c r="R57" s="201">
        <v>234980</v>
      </c>
      <c r="S57" s="202">
        <v>208750</v>
      </c>
      <c r="T57" s="185">
        <f>U57-S57</f>
        <v>0</v>
      </c>
      <c r="U57" s="202">
        <v>208750</v>
      </c>
      <c r="V57" s="203">
        <f>U57/R57*100</f>
        <v>88.8373478593923</v>
      </c>
    </row>
    <row r="58" spans="1:22" s="149" customFormat="1" ht="21">
      <c r="A58" s="183" t="s">
        <v>60</v>
      </c>
      <c r="B58" s="204">
        <v>75000</v>
      </c>
      <c r="C58" s="204">
        <v>31427</v>
      </c>
      <c r="D58" s="204">
        <v>34768</v>
      </c>
      <c r="E58" s="204">
        <f>C58+D58</f>
        <v>66195</v>
      </c>
      <c r="F58" s="204">
        <v>967</v>
      </c>
      <c r="G58" s="204">
        <v>1010</v>
      </c>
      <c r="H58" s="204">
        <v>1030</v>
      </c>
      <c r="I58" s="204">
        <v>1797</v>
      </c>
      <c r="J58" s="204">
        <v>1952</v>
      </c>
      <c r="K58" s="204">
        <v>1898</v>
      </c>
      <c r="L58" s="204">
        <v>933</v>
      </c>
      <c r="M58" s="204">
        <v>977</v>
      </c>
      <c r="N58" s="204">
        <f>C58+F58+H58+J58+L58</f>
        <v>36309</v>
      </c>
      <c r="O58" s="205">
        <f aca="true" t="shared" si="5" ref="O58:O68">D58+G58+I58+K58+M58</f>
        <v>40450</v>
      </c>
      <c r="P58" s="204">
        <f aca="true" t="shared" si="6" ref="P58:P68">SUM(N58:O58)</f>
        <v>76759</v>
      </c>
      <c r="Q58" s="192">
        <f>(O58+N58)/B58*100</f>
        <v>102.34533333333333</v>
      </c>
      <c r="R58" s="182"/>
      <c r="S58" s="182"/>
      <c r="T58" s="182" t="s">
        <v>108</v>
      </c>
      <c r="U58" s="182"/>
      <c r="V58" s="182"/>
    </row>
    <row r="59" spans="1:22" s="149" customFormat="1" ht="21">
      <c r="A59" s="183" t="s">
        <v>61</v>
      </c>
      <c r="B59" s="204">
        <v>3000</v>
      </c>
      <c r="C59" s="204">
        <v>1809</v>
      </c>
      <c r="D59" s="204">
        <v>2109</v>
      </c>
      <c r="E59" s="204">
        <f>C59+D59</f>
        <v>3918</v>
      </c>
      <c r="F59" s="204">
        <v>5</v>
      </c>
      <c r="G59" s="204">
        <v>12</v>
      </c>
      <c r="H59" s="204">
        <v>13</v>
      </c>
      <c r="I59" s="204">
        <v>15</v>
      </c>
      <c r="J59" s="204">
        <v>14</v>
      </c>
      <c r="K59" s="204">
        <v>14</v>
      </c>
      <c r="L59" s="204">
        <v>8</v>
      </c>
      <c r="M59" s="204">
        <v>6</v>
      </c>
      <c r="N59" s="204">
        <f>C59+F59+H59+J59+L59</f>
        <v>1849</v>
      </c>
      <c r="O59" s="205">
        <f>D59+G59+I59+K59+M59</f>
        <v>2156</v>
      </c>
      <c r="P59" s="204">
        <f t="shared" si="6"/>
        <v>4005</v>
      </c>
      <c r="Q59" s="192">
        <f>(O59+N59)/B59*100</f>
        <v>133.5</v>
      </c>
      <c r="R59" s="182"/>
      <c r="S59" s="182"/>
      <c r="T59" s="182"/>
      <c r="U59" s="182"/>
      <c r="V59" s="182"/>
    </row>
    <row r="60" spans="1:22" s="149" customFormat="1" ht="21">
      <c r="A60" s="183" t="s">
        <v>62</v>
      </c>
      <c r="B60" s="204">
        <v>20000</v>
      </c>
      <c r="C60" s="204">
        <v>8371</v>
      </c>
      <c r="D60" s="204">
        <v>12074</v>
      </c>
      <c r="E60" s="204">
        <f>SUM(C60:D60)</f>
        <v>20445</v>
      </c>
      <c r="F60" s="204">
        <f>SUM(F61:F64)</f>
        <v>266</v>
      </c>
      <c r="G60" s="204">
        <f aca="true" t="shared" si="7" ref="G60:M60">SUM(G61:G64)</f>
        <v>368</v>
      </c>
      <c r="H60" s="204">
        <f t="shared" si="7"/>
        <v>268</v>
      </c>
      <c r="I60" s="204">
        <f t="shared" si="7"/>
        <v>372</v>
      </c>
      <c r="J60" s="204">
        <f t="shared" si="7"/>
        <v>282</v>
      </c>
      <c r="K60" s="204">
        <f>SUM(K61:K64)</f>
        <v>348</v>
      </c>
      <c r="L60" s="204">
        <f t="shared" si="7"/>
        <v>232</v>
      </c>
      <c r="M60" s="204">
        <f t="shared" si="7"/>
        <v>308</v>
      </c>
      <c r="N60" s="204">
        <f>C60+F60+H60+J60+L60</f>
        <v>9419</v>
      </c>
      <c r="O60" s="205">
        <f t="shared" si="5"/>
        <v>13470</v>
      </c>
      <c r="P60" s="204">
        <f>SUM(N60:O60)</f>
        <v>22889</v>
      </c>
      <c r="Q60" s="192">
        <f>P60/B60*100</f>
        <v>114.445</v>
      </c>
      <c r="R60" s="182"/>
      <c r="S60" s="189"/>
      <c r="T60" s="182"/>
      <c r="U60" s="182"/>
      <c r="V60" s="182"/>
    </row>
    <row r="61" spans="1:22" s="149" customFormat="1" ht="21">
      <c r="A61" s="182" t="s">
        <v>189</v>
      </c>
      <c r="B61" s="189">
        <v>10000</v>
      </c>
      <c r="C61" s="189">
        <v>2235</v>
      </c>
      <c r="D61" s="189">
        <v>3169</v>
      </c>
      <c r="E61" s="204">
        <f>C61+D61</f>
        <v>5404</v>
      </c>
      <c r="F61" s="189">
        <v>68</v>
      </c>
      <c r="G61" s="189">
        <v>106</v>
      </c>
      <c r="H61" s="189">
        <v>77</v>
      </c>
      <c r="I61" s="189">
        <v>86</v>
      </c>
      <c r="J61" s="189">
        <v>92</v>
      </c>
      <c r="K61" s="189">
        <v>95</v>
      </c>
      <c r="L61" s="189">
        <v>62</v>
      </c>
      <c r="M61" s="189">
        <v>88</v>
      </c>
      <c r="N61" s="189">
        <f>C61+F61+H61+J61+L61</f>
        <v>2534</v>
      </c>
      <c r="O61" s="206">
        <f t="shared" si="5"/>
        <v>3544</v>
      </c>
      <c r="P61" s="204">
        <f t="shared" si="6"/>
        <v>6078</v>
      </c>
      <c r="Q61" s="182"/>
      <c r="R61" s="182"/>
      <c r="S61" s="189"/>
      <c r="T61" s="182"/>
      <c r="U61" s="182"/>
      <c r="V61" s="182"/>
    </row>
    <row r="62" spans="1:22" s="149" customFormat="1" ht="21">
      <c r="A62" s="182" t="s">
        <v>190</v>
      </c>
      <c r="B62" s="189">
        <v>4000</v>
      </c>
      <c r="C62" s="189">
        <v>2592</v>
      </c>
      <c r="D62" s="189">
        <v>3730</v>
      </c>
      <c r="E62" s="204">
        <f>C62+D62</f>
        <v>6322</v>
      </c>
      <c r="F62" s="189">
        <v>52</v>
      </c>
      <c r="G62" s="189">
        <v>86</v>
      </c>
      <c r="H62" s="189">
        <v>68</v>
      </c>
      <c r="I62" s="189">
        <v>84</v>
      </c>
      <c r="J62" s="189">
        <v>65</v>
      </c>
      <c r="K62" s="189">
        <v>86</v>
      </c>
      <c r="L62" s="189">
        <v>56</v>
      </c>
      <c r="M62" s="189">
        <v>71</v>
      </c>
      <c r="N62" s="189">
        <f>C62+F62+H62+J62+L62</f>
        <v>2833</v>
      </c>
      <c r="O62" s="206">
        <f t="shared" si="5"/>
        <v>4057</v>
      </c>
      <c r="P62" s="204">
        <f t="shared" si="6"/>
        <v>6890</v>
      </c>
      <c r="Q62" s="182"/>
      <c r="R62" s="182"/>
      <c r="S62" s="182"/>
      <c r="T62" s="182"/>
      <c r="U62" s="182"/>
      <c r="V62" s="182"/>
    </row>
    <row r="63" spans="1:22" s="149" customFormat="1" ht="21">
      <c r="A63" s="182" t="s">
        <v>191</v>
      </c>
      <c r="B63" s="189">
        <v>2000</v>
      </c>
      <c r="C63" s="189">
        <v>1803</v>
      </c>
      <c r="D63" s="189">
        <v>2658</v>
      </c>
      <c r="E63" s="204">
        <f>C63+D63</f>
        <v>4461</v>
      </c>
      <c r="F63" s="189">
        <v>77</v>
      </c>
      <c r="G63" s="189">
        <v>78</v>
      </c>
      <c r="H63" s="189">
        <v>69</v>
      </c>
      <c r="I63" s="189">
        <v>84</v>
      </c>
      <c r="J63" s="189">
        <v>64</v>
      </c>
      <c r="K63" s="189">
        <v>78</v>
      </c>
      <c r="L63" s="189">
        <v>52</v>
      </c>
      <c r="M63" s="189">
        <v>74</v>
      </c>
      <c r="N63" s="189">
        <f>C63+F63+H63+J63+L63</f>
        <v>2065</v>
      </c>
      <c r="O63" s="206">
        <f t="shared" si="5"/>
        <v>2972</v>
      </c>
      <c r="P63" s="204">
        <f t="shared" si="6"/>
        <v>5037</v>
      </c>
      <c r="Q63" s="182"/>
      <c r="R63" s="189"/>
      <c r="S63" s="182"/>
      <c r="T63" s="182"/>
      <c r="U63" s="182"/>
      <c r="V63" s="182"/>
    </row>
    <row r="64" spans="1:22" s="149" customFormat="1" ht="21">
      <c r="A64" s="182" t="s">
        <v>192</v>
      </c>
      <c r="B64" s="189">
        <v>4000</v>
      </c>
      <c r="C64" s="189">
        <v>1792</v>
      </c>
      <c r="D64" s="189">
        <v>2515</v>
      </c>
      <c r="E64" s="204">
        <f>C64+D64</f>
        <v>4307</v>
      </c>
      <c r="F64" s="189">
        <v>69</v>
      </c>
      <c r="G64" s="189">
        <v>98</v>
      </c>
      <c r="H64" s="189">
        <v>54</v>
      </c>
      <c r="I64" s="189">
        <v>118</v>
      </c>
      <c r="J64" s="189">
        <v>61</v>
      </c>
      <c r="K64" s="189">
        <v>89</v>
      </c>
      <c r="L64" s="189">
        <v>62</v>
      </c>
      <c r="M64" s="189">
        <v>75</v>
      </c>
      <c r="N64" s="189">
        <f>C64+F64+H64+J64+L64</f>
        <v>2038</v>
      </c>
      <c r="O64" s="206">
        <f t="shared" si="5"/>
        <v>2895</v>
      </c>
      <c r="P64" s="204">
        <f t="shared" si="6"/>
        <v>4933</v>
      </c>
      <c r="Q64" s="182"/>
      <c r="R64" s="182"/>
      <c r="S64" s="182"/>
      <c r="T64" s="182"/>
      <c r="U64" s="182"/>
      <c r="V64" s="182"/>
    </row>
    <row r="65" spans="1:22" s="151" customFormat="1" ht="21">
      <c r="A65" s="183" t="s">
        <v>70</v>
      </c>
      <c r="B65" s="204">
        <v>2400</v>
      </c>
      <c r="C65" s="204">
        <f>SUM(C66:C68)</f>
        <v>3579</v>
      </c>
      <c r="D65" s="204">
        <f>SUM(D66:D68)</f>
        <v>3754</v>
      </c>
      <c r="E65" s="204">
        <f>SUM(E66:E68)</f>
        <v>7333</v>
      </c>
      <c r="F65" s="204">
        <f>SUM(F66:F68)</f>
        <v>61</v>
      </c>
      <c r="G65" s="204">
        <f aca="true" t="shared" si="8" ref="G65:M65">SUM(G66:G68)</f>
        <v>83</v>
      </c>
      <c r="H65" s="204">
        <f t="shared" si="8"/>
        <v>113</v>
      </c>
      <c r="I65" s="204">
        <f t="shared" si="8"/>
        <v>90</v>
      </c>
      <c r="J65" s="204">
        <f t="shared" si="8"/>
        <v>93</v>
      </c>
      <c r="K65" s="204">
        <f t="shared" si="8"/>
        <v>93</v>
      </c>
      <c r="L65" s="204">
        <f t="shared" si="8"/>
        <v>70</v>
      </c>
      <c r="M65" s="204">
        <f t="shared" si="8"/>
        <v>57</v>
      </c>
      <c r="N65" s="204">
        <f>C65+F65+H65+J65+L65</f>
        <v>3916</v>
      </c>
      <c r="O65" s="205">
        <f>D65+G65+I65+K65+M65</f>
        <v>4077</v>
      </c>
      <c r="P65" s="204">
        <f t="shared" si="6"/>
        <v>7993</v>
      </c>
      <c r="Q65" s="192">
        <f>(O65+N65)/B65*100</f>
        <v>333.0416666666667</v>
      </c>
      <c r="R65" s="183"/>
      <c r="S65" s="183"/>
      <c r="T65" s="183"/>
      <c r="U65" s="183"/>
      <c r="V65" s="183"/>
    </row>
    <row r="66" spans="1:22" ht="21">
      <c r="A66" s="193" t="s">
        <v>193</v>
      </c>
      <c r="B66" s="201">
        <v>1000</v>
      </c>
      <c r="C66" s="189">
        <v>1316</v>
      </c>
      <c r="D66" s="189">
        <v>1439</v>
      </c>
      <c r="E66" s="204">
        <f>C66+D66</f>
        <v>2755</v>
      </c>
      <c r="F66" s="189">
        <v>13</v>
      </c>
      <c r="G66" s="189">
        <v>46</v>
      </c>
      <c r="H66" s="189">
        <v>65</v>
      </c>
      <c r="I66" s="189">
        <v>33</v>
      </c>
      <c r="J66" s="189">
        <v>37</v>
      </c>
      <c r="K66" s="189">
        <v>39</v>
      </c>
      <c r="L66" s="189">
        <v>35</v>
      </c>
      <c r="M66" s="189">
        <v>16</v>
      </c>
      <c r="N66" s="189">
        <f>C66+F66+H66+J66+L66</f>
        <v>1466</v>
      </c>
      <c r="O66" s="206">
        <f t="shared" si="5"/>
        <v>1573</v>
      </c>
      <c r="P66" s="204">
        <f t="shared" si="6"/>
        <v>3039</v>
      </c>
      <c r="Q66" s="193"/>
      <c r="R66" s="193"/>
      <c r="S66" s="201"/>
      <c r="T66" s="193"/>
      <c r="U66" s="193"/>
      <c r="V66" s="193"/>
    </row>
    <row r="67" spans="1:22" ht="21">
      <c r="A67" s="193" t="s">
        <v>194</v>
      </c>
      <c r="B67" s="201">
        <v>800</v>
      </c>
      <c r="C67" s="189">
        <v>1189</v>
      </c>
      <c r="D67" s="189">
        <v>1304</v>
      </c>
      <c r="E67" s="204">
        <f>C67+D67</f>
        <v>2493</v>
      </c>
      <c r="F67" s="189">
        <v>23</v>
      </c>
      <c r="G67" s="189">
        <v>15</v>
      </c>
      <c r="H67" s="189">
        <v>26</v>
      </c>
      <c r="I67" s="189">
        <v>32</v>
      </c>
      <c r="J67" s="189">
        <v>34</v>
      </c>
      <c r="K67" s="189">
        <v>27</v>
      </c>
      <c r="L67" s="189">
        <v>27</v>
      </c>
      <c r="M67" s="189">
        <v>25</v>
      </c>
      <c r="N67" s="189">
        <f>C67+F67+H67+J67+L67</f>
        <v>1299</v>
      </c>
      <c r="O67" s="206">
        <f t="shared" si="5"/>
        <v>1403</v>
      </c>
      <c r="P67" s="204">
        <f t="shared" si="6"/>
        <v>2702</v>
      </c>
      <c r="Q67" s="193"/>
      <c r="R67" s="193"/>
      <c r="S67" s="201"/>
      <c r="T67" s="193"/>
      <c r="U67" s="193"/>
      <c r="V67" s="193"/>
    </row>
    <row r="68" spans="1:22" ht="21">
      <c r="A68" s="193" t="s">
        <v>195</v>
      </c>
      <c r="B68" s="201">
        <v>600</v>
      </c>
      <c r="C68" s="189">
        <v>1074</v>
      </c>
      <c r="D68" s="189">
        <v>1011</v>
      </c>
      <c r="E68" s="204">
        <f>C68+D68</f>
        <v>2085</v>
      </c>
      <c r="F68" s="189">
        <v>25</v>
      </c>
      <c r="G68" s="189">
        <v>22</v>
      </c>
      <c r="H68" s="189">
        <v>22</v>
      </c>
      <c r="I68" s="204">
        <v>25</v>
      </c>
      <c r="J68" s="204">
        <v>22</v>
      </c>
      <c r="K68" s="204">
        <v>27</v>
      </c>
      <c r="L68" s="204">
        <v>8</v>
      </c>
      <c r="M68" s="204">
        <v>16</v>
      </c>
      <c r="N68" s="189">
        <f>C68+F68+H68+J68+L68</f>
        <v>1151</v>
      </c>
      <c r="O68" s="206">
        <f t="shared" si="5"/>
        <v>1101</v>
      </c>
      <c r="P68" s="204">
        <f t="shared" si="6"/>
        <v>2252</v>
      </c>
      <c r="Q68" s="193"/>
      <c r="R68" s="193"/>
      <c r="S68" s="193"/>
      <c r="T68" s="193"/>
      <c r="U68" s="193"/>
      <c r="V68" s="193"/>
    </row>
    <row r="69" spans="1:22" ht="21">
      <c r="A69" s="193" t="s">
        <v>196</v>
      </c>
      <c r="B69" s="201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204"/>
      <c r="O69" s="204"/>
      <c r="P69" s="204"/>
      <c r="Q69" s="193"/>
      <c r="R69" s="193"/>
      <c r="S69" s="193"/>
      <c r="T69" s="193"/>
      <c r="U69" s="193"/>
      <c r="V69" s="193"/>
    </row>
    <row r="70" spans="1:22" s="160" customFormat="1" ht="21">
      <c r="A70" s="207" t="s">
        <v>80</v>
      </c>
      <c r="B70" s="208">
        <v>60000</v>
      </c>
      <c r="C70" s="204"/>
      <c r="D70" s="204"/>
      <c r="E70" s="204">
        <f>SUM(E71:E72)</f>
        <v>80964</v>
      </c>
      <c r="F70" s="204"/>
      <c r="G70" s="204"/>
      <c r="H70" s="204"/>
      <c r="I70" s="204"/>
      <c r="J70" s="204"/>
      <c r="K70" s="204"/>
      <c r="L70" s="204"/>
      <c r="M70" s="204"/>
      <c r="N70" s="204">
        <f>N71</f>
        <v>42448</v>
      </c>
      <c r="O70" s="204">
        <f>O71</f>
        <v>44422</v>
      </c>
      <c r="P70" s="205">
        <f>SUM(N70:O70)</f>
        <v>86870</v>
      </c>
      <c r="Q70" s="209">
        <f>P70/B70*100</f>
        <v>144.78333333333333</v>
      </c>
      <c r="R70" s="204">
        <v>350200</v>
      </c>
      <c r="S70" s="208">
        <v>350200</v>
      </c>
      <c r="T70" s="210">
        <v>0</v>
      </c>
      <c r="U70" s="208">
        <v>350200</v>
      </c>
      <c r="V70" s="211">
        <f>U70/R70*100</f>
        <v>100</v>
      </c>
    </row>
    <row r="71" spans="1:22" ht="21">
      <c r="A71" s="193" t="s">
        <v>197</v>
      </c>
      <c r="B71" s="201">
        <v>60000</v>
      </c>
      <c r="C71" s="206">
        <v>39444</v>
      </c>
      <c r="D71" s="206">
        <v>41520</v>
      </c>
      <c r="E71" s="204">
        <f>C71+D71</f>
        <v>80964</v>
      </c>
      <c r="F71" s="189">
        <v>615</v>
      </c>
      <c r="G71" s="189">
        <v>718</v>
      </c>
      <c r="H71" s="189">
        <v>954</v>
      </c>
      <c r="I71" s="189">
        <v>953</v>
      </c>
      <c r="J71" s="189">
        <v>818</v>
      </c>
      <c r="K71" s="189">
        <v>818</v>
      </c>
      <c r="L71" s="189">
        <v>617</v>
      </c>
      <c r="M71" s="189">
        <v>413</v>
      </c>
      <c r="N71" s="205">
        <f>C71+F71+H71+J71+L71</f>
        <v>42448</v>
      </c>
      <c r="O71" s="205">
        <f>D71+G71+I71+K71+M71</f>
        <v>44422</v>
      </c>
      <c r="P71" s="205">
        <f>SUM(N71:O71)</f>
        <v>86870</v>
      </c>
      <c r="Q71" s="193"/>
      <c r="R71" s="193"/>
      <c r="S71" s="193"/>
      <c r="T71" s="193"/>
      <c r="U71" s="193"/>
      <c r="V71" s="193"/>
    </row>
    <row r="72" spans="1:22" ht="21">
      <c r="A72" s="193" t="s">
        <v>198</v>
      </c>
      <c r="B72" s="201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204"/>
      <c r="O72" s="204"/>
      <c r="P72" s="204"/>
      <c r="Q72" s="193"/>
      <c r="R72" s="193"/>
      <c r="S72" s="193"/>
      <c r="T72" s="193"/>
      <c r="U72" s="193"/>
      <c r="V72" s="193"/>
    </row>
    <row r="73" spans="1:22" ht="21">
      <c r="A73" s="212" t="s">
        <v>84</v>
      </c>
      <c r="B73" s="198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3"/>
      <c r="O73" s="183"/>
      <c r="P73" s="183"/>
      <c r="Q73" s="193"/>
      <c r="R73" s="193"/>
      <c r="S73" s="193"/>
      <c r="T73" s="193"/>
      <c r="U73" s="193"/>
      <c r="V73" s="193"/>
    </row>
    <row r="74" spans="1:22" s="151" customFormat="1" ht="21">
      <c r="A74" s="183" t="s">
        <v>85</v>
      </c>
      <c r="B74" s="183">
        <v>803</v>
      </c>
      <c r="C74" s="183">
        <v>280</v>
      </c>
      <c r="D74" s="183">
        <v>201</v>
      </c>
      <c r="E74" s="183">
        <f>D74+C74</f>
        <v>481</v>
      </c>
      <c r="F74" s="183"/>
      <c r="G74" s="183"/>
      <c r="H74" s="183"/>
      <c r="I74" s="183"/>
      <c r="J74" s="183"/>
      <c r="K74" s="183"/>
      <c r="L74" s="183"/>
      <c r="M74" s="183"/>
      <c r="N74" s="183">
        <f>C74+F74+H74+J74+L74</f>
        <v>280</v>
      </c>
      <c r="O74" s="183">
        <v>201</v>
      </c>
      <c r="P74" s="183">
        <f>O74+N74</f>
        <v>481</v>
      </c>
      <c r="Q74" s="192">
        <f>P74/B74*100</f>
        <v>59.90037359900373</v>
      </c>
      <c r="R74" s="59">
        <v>143400</v>
      </c>
      <c r="S74" s="59">
        <v>143400</v>
      </c>
      <c r="T74" s="59">
        <v>0</v>
      </c>
      <c r="U74" s="59">
        <f>T74+S74</f>
        <v>143400</v>
      </c>
      <c r="V74" s="213">
        <f>U74/R74*100</f>
        <v>100</v>
      </c>
    </row>
    <row r="75" spans="1:22" s="151" customFormat="1" ht="21">
      <c r="A75" s="183" t="s">
        <v>86</v>
      </c>
      <c r="B75" s="183">
        <v>481</v>
      </c>
      <c r="C75" s="183">
        <v>280</v>
      </c>
      <c r="D75" s="183">
        <v>201</v>
      </c>
      <c r="E75" s="183">
        <f>D75+C75</f>
        <v>481</v>
      </c>
      <c r="F75" s="183"/>
      <c r="G75" s="183"/>
      <c r="H75" s="183"/>
      <c r="I75" s="183"/>
      <c r="J75" s="183"/>
      <c r="K75" s="183"/>
      <c r="L75" s="183"/>
      <c r="M75" s="183"/>
      <c r="N75" s="183">
        <f>C75+F75+H75+J75+L75</f>
        <v>280</v>
      </c>
      <c r="O75" s="183">
        <v>201</v>
      </c>
      <c r="P75" s="183">
        <f>O75+N75</f>
        <v>481</v>
      </c>
      <c r="Q75" s="192"/>
      <c r="R75" s="183"/>
      <c r="S75" s="183"/>
      <c r="T75" s="183"/>
      <c r="U75" s="183"/>
      <c r="V75" s="183"/>
    </row>
    <row r="76" spans="1:22" s="151" customFormat="1" ht="21">
      <c r="A76" s="183" t="s">
        <v>87</v>
      </c>
      <c r="B76" s="183">
        <f>SUM(B77:B80)</f>
        <v>354</v>
      </c>
      <c r="C76" s="183">
        <f>SUM(C77:C80)</f>
        <v>180</v>
      </c>
      <c r="D76" s="183">
        <f>SUM(D77:D80)</f>
        <v>225</v>
      </c>
      <c r="E76" s="183">
        <f>SUM(E77:E80)</f>
        <v>405</v>
      </c>
      <c r="F76" s="183"/>
      <c r="G76" s="183"/>
      <c r="H76" s="183"/>
      <c r="I76" s="183"/>
      <c r="J76" s="183"/>
      <c r="K76" s="183"/>
      <c r="L76" s="183"/>
      <c r="M76" s="183"/>
      <c r="N76" s="183">
        <f>SUM(N77:N82)</f>
        <v>207</v>
      </c>
      <c r="O76" s="183">
        <f>SUM(O77:O82)</f>
        <v>271</v>
      </c>
      <c r="P76" s="183">
        <f>SUM(P77:P82)</f>
        <v>478</v>
      </c>
      <c r="Q76" s="192">
        <f>P76/B76*100</f>
        <v>135.02824858757063</v>
      </c>
      <c r="R76" s="59">
        <v>543134</v>
      </c>
      <c r="S76" s="59">
        <v>187034</v>
      </c>
      <c r="T76" s="59">
        <f>U76-S76</f>
        <v>350496</v>
      </c>
      <c r="U76" s="59">
        <v>537530</v>
      </c>
      <c r="V76" s="192">
        <f>U76/R76*100</f>
        <v>98.96821042321048</v>
      </c>
    </row>
    <row r="77" spans="1:22" ht="21">
      <c r="A77" s="214" t="s">
        <v>199</v>
      </c>
      <c r="B77" s="182">
        <v>40</v>
      </c>
      <c r="C77" s="182">
        <v>22</v>
      </c>
      <c r="D77" s="182">
        <v>18</v>
      </c>
      <c r="E77" s="182">
        <f aca="true" t="shared" si="9" ref="E77:E88">D77+C77</f>
        <v>40</v>
      </c>
      <c r="F77" s="182"/>
      <c r="G77" s="182"/>
      <c r="H77" s="182"/>
      <c r="I77" s="182"/>
      <c r="J77" s="182"/>
      <c r="K77" s="182"/>
      <c r="L77" s="182"/>
      <c r="M77" s="182"/>
      <c r="N77" s="183">
        <v>14</v>
      </c>
      <c r="O77" s="183">
        <v>16</v>
      </c>
      <c r="P77" s="183">
        <f>SUM(N77:O77)</f>
        <v>30</v>
      </c>
      <c r="Q77" s="183"/>
      <c r="R77" s="193"/>
      <c r="S77" s="193"/>
      <c r="T77" s="193"/>
      <c r="U77" s="193"/>
      <c r="V77" s="193"/>
    </row>
    <row r="78" spans="1:22" ht="21">
      <c r="A78" s="215" t="s">
        <v>200</v>
      </c>
      <c r="B78" s="193">
        <v>150</v>
      </c>
      <c r="C78" s="182">
        <v>69</v>
      </c>
      <c r="D78" s="182">
        <v>81</v>
      </c>
      <c r="E78" s="182">
        <f t="shared" si="9"/>
        <v>150</v>
      </c>
      <c r="F78" s="182"/>
      <c r="G78" s="182"/>
      <c r="H78" s="182"/>
      <c r="I78" s="182"/>
      <c r="J78" s="182"/>
      <c r="K78" s="182"/>
      <c r="L78" s="182"/>
      <c r="M78" s="182"/>
      <c r="N78" s="183">
        <f>C78+F78+H78+J78+L78</f>
        <v>69</v>
      </c>
      <c r="O78" s="183">
        <f>D78+G78+I78+K78+M78</f>
        <v>81</v>
      </c>
      <c r="P78" s="183">
        <f>SUM(N78:O78)</f>
        <v>150</v>
      </c>
      <c r="Q78" s="183"/>
      <c r="R78" s="193"/>
      <c r="S78" s="193"/>
      <c r="T78" s="193"/>
      <c r="U78" s="193"/>
      <c r="V78" s="193"/>
    </row>
    <row r="79" spans="1:22" ht="21">
      <c r="A79" s="215" t="s">
        <v>201</v>
      </c>
      <c r="B79" s="193">
        <v>64</v>
      </c>
      <c r="C79" s="182">
        <v>37</v>
      </c>
      <c r="D79" s="182">
        <v>63</v>
      </c>
      <c r="E79" s="182">
        <f t="shared" si="9"/>
        <v>100</v>
      </c>
      <c r="F79" s="182"/>
      <c r="G79" s="182"/>
      <c r="H79" s="182"/>
      <c r="I79" s="182"/>
      <c r="J79" s="182"/>
      <c r="K79" s="182"/>
      <c r="L79" s="182"/>
      <c r="M79" s="182"/>
      <c r="N79" s="183">
        <v>37</v>
      </c>
      <c r="O79" s="183">
        <v>63</v>
      </c>
      <c r="P79" s="183">
        <f>SUM(N79:O79)</f>
        <v>100</v>
      </c>
      <c r="Q79" s="183"/>
      <c r="R79" s="193"/>
      <c r="S79" s="193"/>
      <c r="T79" s="193"/>
      <c r="U79" s="193"/>
      <c r="V79" s="193"/>
    </row>
    <row r="80" spans="1:22" ht="21">
      <c r="A80" s="215" t="s">
        <v>202</v>
      </c>
      <c r="B80" s="193">
        <v>100</v>
      </c>
      <c r="C80" s="182">
        <v>52</v>
      </c>
      <c r="D80" s="182">
        <v>63</v>
      </c>
      <c r="E80" s="182">
        <f t="shared" si="9"/>
        <v>115</v>
      </c>
      <c r="F80" s="182"/>
      <c r="G80" s="182"/>
      <c r="H80" s="182"/>
      <c r="I80" s="182"/>
      <c r="J80" s="182"/>
      <c r="K80" s="182"/>
      <c r="L80" s="182"/>
      <c r="M80" s="182"/>
      <c r="N80" s="183">
        <v>52</v>
      </c>
      <c r="O80" s="183">
        <v>63</v>
      </c>
      <c r="P80" s="183">
        <v>115</v>
      </c>
      <c r="Q80" s="183"/>
      <c r="R80" s="193"/>
      <c r="S80" s="193"/>
      <c r="T80" s="193"/>
      <c r="U80" s="193"/>
      <c r="V80" s="193"/>
    </row>
    <row r="81" spans="1:22" ht="21">
      <c r="A81" s="215" t="s">
        <v>203</v>
      </c>
      <c r="B81" s="193">
        <v>60</v>
      </c>
      <c r="C81" s="182">
        <v>22</v>
      </c>
      <c r="D81" s="182">
        <v>38</v>
      </c>
      <c r="E81" s="182">
        <f t="shared" si="9"/>
        <v>60</v>
      </c>
      <c r="F81" s="182"/>
      <c r="G81" s="182"/>
      <c r="H81" s="182"/>
      <c r="I81" s="182"/>
      <c r="J81" s="182"/>
      <c r="K81" s="182"/>
      <c r="L81" s="182"/>
      <c r="M81" s="182"/>
      <c r="N81" s="183">
        <v>22</v>
      </c>
      <c r="O81" s="183">
        <v>38</v>
      </c>
      <c r="P81" s="183">
        <v>60</v>
      </c>
      <c r="Q81" s="183"/>
      <c r="R81" s="193"/>
      <c r="S81" s="193"/>
      <c r="T81" s="193"/>
      <c r="U81" s="193"/>
      <c r="V81" s="193"/>
    </row>
    <row r="82" spans="1:22" ht="42">
      <c r="A82" s="215" t="s">
        <v>204</v>
      </c>
      <c r="B82" s="193">
        <v>20</v>
      </c>
      <c r="C82" s="182">
        <v>13</v>
      </c>
      <c r="D82" s="182">
        <v>10</v>
      </c>
      <c r="E82" s="182">
        <f t="shared" si="9"/>
        <v>23</v>
      </c>
      <c r="F82" s="182"/>
      <c r="G82" s="182"/>
      <c r="H82" s="182"/>
      <c r="I82" s="182"/>
      <c r="J82" s="182"/>
      <c r="K82" s="182"/>
      <c r="L82" s="182"/>
      <c r="M82" s="182"/>
      <c r="N82" s="183">
        <v>13</v>
      </c>
      <c r="O82" s="183">
        <v>10</v>
      </c>
      <c r="P82" s="183">
        <v>23</v>
      </c>
      <c r="Q82" s="183"/>
      <c r="R82" s="193"/>
      <c r="S82" s="193"/>
      <c r="T82" s="193"/>
      <c r="U82" s="193"/>
      <c r="V82" s="193"/>
    </row>
    <row r="83" spans="1:22" s="218" customFormat="1" ht="42">
      <c r="A83" s="216" t="s">
        <v>205</v>
      </c>
      <c r="B83" s="188">
        <v>250</v>
      </c>
      <c r="C83" s="188">
        <v>137</v>
      </c>
      <c r="D83" s="188">
        <v>131</v>
      </c>
      <c r="E83" s="182">
        <f t="shared" si="9"/>
        <v>268</v>
      </c>
      <c r="F83" s="188"/>
      <c r="G83" s="188"/>
      <c r="H83" s="188"/>
      <c r="I83" s="188"/>
      <c r="J83" s="188"/>
      <c r="K83" s="188"/>
      <c r="L83" s="188"/>
      <c r="M83" s="188"/>
      <c r="N83" s="191">
        <f>C83+F83+H83+J83+L83</f>
        <v>137</v>
      </c>
      <c r="O83" s="191">
        <f aca="true" t="shared" si="10" ref="N83:O92">D83+G83+I83+K83+M83</f>
        <v>131</v>
      </c>
      <c r="P83" s="191">
        <f aca="true" t="shared" si="11" ref="P83:P92">SUM(N83:O83)</f>
        <v>268</v>
      </c>
      <c r="Q83" s="191"/>
      <c r="R83" s="217">
        <v>100000</v>
      </c>
      <c r="S83" s="188"/>
      <c r="T83" s="188"/>
      <c r="U83" s="188"/>
      <c r="V83" s="188"/>
    </row>
    <row r="84" spans="1:22" s="218" customFormat="1" ht="21">
      <c r="A84" s="216" t="s">
        <v>206</v>
      </c>
      <c r="B84" s="188">
        <v>100</v>
      </c>
      <c r="C84" s="188">
        <v>58</v>
      </c>
      <c r="D84" s="188">
        <v>66</v>
      </c>
      <c r="E84" s="182">
        <f t="shared" si="9"/>
        <v>124</v>
      </c>
      <c r="F84" s="188"/>
      <c r="G84" s="188"/>
      <c r="H84" s="188"/>
      <c r="I84" s="188"/>
      <c r="J84" s="188"/>
      <c r="K84" s="188"/>
      <c r="L84" s="188"/>
      <c r="M84" s="188"/>
      <c r="N84" s="191">
        <v>58</v>
      </c>
      <c r="O84" s="191">
        <v>66</v>
      </c>
      <c r="P84" s="191">
        <f t="shared" si="11"/>
        <v>124</v>
      </c>
      <c r="Q84" s="191"/>
      <c r="R84" s="217"/>
      <c r="S84" s="188"/>
      <c r="T84" s="188"/>
      <c r="U84" s="188"/>
      <c r="V84" s="188"/>
    </row>
    <row r="85" spans="1:22" s="225" customFormat="1" ht="21">
      <c r="A85" s="191" t="s">
        <v>92</v>
      </c>
      <c r="B85" s="219">
        <v>1618</v>
      </c>
      <c r="C85" s="191">
        <v>960</v>
      </c>
      <c r="D85" s="191">
        <v>658</v>
      </c>
      <c r="E85" s="59">
        <f t="shared" si="9"/>
        <v>1618</v>
      </c>
      <c r="F85" s="191"/>
      <c r="G85" s="191"/>
      <c r="H85" s="191"/>
      <c r="I85" s="191"/>
      <c r="J85" s="191"/>
      <c r="K85" s="191"/>
      <c r="L85" s="191"/>
      <c r="M85" s="191"/>
      <c r="N85" s="191">
        <f>C85+F85+H85+J85+L85</f>
        <v>960</v>
      </c>
      <c r="O85" s="191">
        <f t="shared" si="10"/>
        <v>658</v>
      </c>
      <c r="P85" s="191">
        <f t="shared" si="11"/>
        <v>1618</v>
      </c>
      <c r="Q85" s="191">
        <v>100</v>
      </c>
      <c r="R85" s="220">
        <v>1403770</v>
      </c>
      <c r="S85" s="221">
        <v>618779.37</v>
      </c>
      <c r="T85" s="222">
        <f>U85-S85</f>
        <v>617887.5199999999</v>
      </c>
      <c r="U85" s="223">
        <v>1236666.89</v>
      </c>
      <c r="V85" s="224">
        <f>U85/R85*100</f>
        <v>88.09611902234697</v>
      </c>
    </row>
    <row r="86" spans="1:22" s="218" customFormat="1" ht="21">
      <c r="A86" s="188" t="s">
        <v>93</v>
      </c>
      <c r="B86" s="188"/>
      <c r="C86" s="188">
        <v>32</v>
      </c>
      <c r="D86" s="188">
        <v>18</v>
      </c>
      <c r="E86" s="182">
        <f t="shared" si="9"/>
        <v>50</v>
      </c>
      <c r="F86" s="188"/>
      <c r="G86" s="188"/>
      <c r="H86" s="188"/>
      <c r="I86" s="188"/>
      <c r="J86" s="188"/>
      <c r="K86" s="188"/>
      <c r="L86" s="188"/>
      <c r="M86" s="188"/>
      <c r="N86" s="191">
        <f t="shared" si="10"/>
        <v>32</v>
      </c>
      <c r="O86" s="191">
        <f t="shared" si="10"/>
        <v>18</v>
      </c>
      <c r="P86" s="191">
        <f t="shared" si="11"/>
        <v>50</v>
      </c>
      <c r="Q86" s="188"/>
      <c r="R86" s="188"/>
      <c r="S86" s="188"/>
      <c r="T86" s="188"/>
      <c r="U86" s="188"/>
      <c r="V86" s="188"/>
    </row>
    <row r="87" spans="1:22" s="218" customFormat="1" ht="21">
      <c r="A87" s="188" t="s">
        <v>94</v>
      </c>
      <c r="B87" s="188"/>
      <c r="C87" s="188">
        <v>219</v>
      </c>
      <c r="D87" s="188">
        <v>149</v>
      </c>
      <c r="E87" s="182">
        <f t="shared" si="9"/>
        <v>368</v>
      </c>
      <c r="F87" s="188"/>
      <c r="G87" s="188"/>
      <c r="H87" s="188"/>
      <c r="I87" s="188"/>
      <c r="J87" s="188"/>
      <c r="K87" s="188"/>
      <c r="L87" s="188"/>
      <c r="M87" s="188"/>
      <c r="N87" s="191">
        <f t="shared" si="10"/>
        <v>219</v>
      </c>
      <c r="O87" s="191">
        <f t="shared" si="10"/>
        <v>149</v>
      </c>
      <c r="P87" s="191">
        <f t="shared" si="11"/>
        <v>368</v>
      </c>
      <c r="Q87" s="188"/>
      <c r="R87" s="188"/>
      <c r="S87" s="188"/>
      <c r="T87" s="188"/>
      <c r="U87" s="188"/>
      <c r="V87" s="188"/>
    </row>
    <row r="88" spans="1:22" s="218" customFormat="1" ht="21">
      <c r="A88" s="188" t="s">
        <v>95</v>
      </c>
      <c r="B88" s="188"/>
      <c r="C88" s="188">
        <v>242</v>
      </c>
      <c r="D88" s="188">
        <v>156</v>
      </c>
      <c r="E88" s="182">
        <f t="shared" si="9"/>
        <v>398</v>
      </c>
      <c r="F88" s="188"/>
      <c r="G88" s="188"/>
      <c r="H88" s="188"/>
      <c r="I88" s="188"/>
      <c r="J88" s="188"/>
      <c r="K88" s="188"/>
      <c r="L88" s="188"/>
      <c r="M88" s="188"/>
      <c r="N88" s="191">
        <f t="shared" si="10"/>
        <v>242</v>
      </c>
      <c r="O88" s="191">
        <f t="shared" si="10"/>
        <v>156</v>
      </c>
      <c r="P88" s="191">
        <f t="shared" si="11"/>
        <v>398</v>
      </c>
      <c r="Q88" s="188"/>
      <c r="R88" s="188"/>
      <c r="S88" s="188"/>
      <c r="T88" s="188"/>
      <c r="U88" s="188"/>
      <c r="V88" s="188"/>
    </row>
    <row r="89" spans="1:22" s="149" customFormat="1" ht="21">
      <c r="A89" s="183" t="s">
        <v>96</v>
      </c>
      <c r="B89" s="182">
        <f>SUM(B90:B92)</f>
        <v>151</v>
      </c>
      <c r="C89" s="182">
        <f>SUM(C90:C92)</f>
        <v>55</v>
      </c>
      <c r="D89" s="182">
        <f>SUM(D90:D92)</f>
        <v>44</v>
      </c>
      <c r="E89" s="182">
        <f>SUM(E90:E92)</f>
        <v>99</v>
      </c>
      <c r="F89" s="182"/>
      <c r="G89" s="182"/>
      <c r="H89" s="182"/>
      <c r="I89" s="182"/>
      <c r="J89" s="182"/>
      <c r="K89" s="182"/>
      <c r="L89" s="182"/>
      <c r="M89" s="182"/>
      <c r="N89" s="183">
        <f t="shared" si="10"/>
        <v>55</v>
      </c>
      <c r="O89" s="183">
        <f t="shared" si="10"/>
        <v>44</v>
      </c>
      <c r="P89" s="183">
        <f t="shared" si="11"/>
        <v>99</v>
      </c>
      <c r="Q89" s="184">
        <f>P89/B89*100</f>
        <v>65.56291390728477</v>
      </c>
      <c r="R89" s="182"/>
      <c r="S89" s="182"/>
      <c r="T89" s="182"/>
      <c r="U89" s="182"/>
      <c r="V89" s="182"/>
    </row>
    <row r="90" spans="1:22" s="149" customFormat="1" ht="21">
      <c r="A90" s="182" t="s">
        <v>93</v>
      </c>
      <c r="B90" s="182">
        <v>3</v>
      </c>
      <c r="C90" s="182">
        <v>0</v>
      </c>
      <c r="D90" s="182">
        <v>1</v>
      </c>
      <c r="E90" s="182">
        <f>D90+C90</f>
        <v>1</v>
      </c>
      <c r="F90" s="182"/>
      <c r="G90" s="182"/>
      <c r="H90" s="182"/>
      <c r="I90" s="182"/>
      <c r="J90" s="182"/>
      <c r="K90" s="182"/>
      <c r="L90" s="182"/>
      <c r="M90" s="182"/>
      <c r="N90" s="183">
        <f t="shared" si="10"/>
        <v>0</v>
      </c>
      <c r="O90" s="183">
        <f t="shared" si="10"/>
        <v>1</v>
      </c>
      <c r="P90" s="183">
        <f t="shared" si="11"/>
        <v>1</v>
      </c>
      <c r="Q90" s="182"/>
      <c r="R90" s="182"/>
      <c r="S90" s="182"/>
      <c r="T90" s="182"/>
      <c r="U90" s="182"/>
      <c r="V90" s="182"/>
    </row>
    <row r="91" spans="1:22" s="149" customFormat="1" ht="21">
      <c r="A91" s="182" t="s">
        <v>94</v>
      </c>
      <c r="B91" s="182">
        <v>58</v>
      </c>
      <c r="C91" s="182">
        <v>19</v>
      </c>
      <c r="D91" s="182">
        <v>21</v>
      </c>
      <c r="E91" s="182">
        <f>D91+C91</f>
        <v>40</v>
      </c>
      <c r="F91" s="182"/>
      <c r="G91" s="182"/>
      <c r="H91" s="182"/>
      <c r="I91" s="182"/>
      <c r="J91" s="182"/>
      <c r="K91" s="182"/>
      <c r="L91" s="182"/>
      <c r="M91" s="182"/>
      <c r="N91" s="183">
        <f>C91+F91+H91+J91+L91</f>
        <v>19</v>
      </c>
      <c r="O91" s="183">
        <f t="shared" si="10"/>
        <v>21</v>
      </c>
      <c r="P91" s="183">
        <f t="shared" si="11"/>
        <v>40</v>
      </c>
      <c r="Q91" s="182"/>
      <c r="R91" s="182"/>
      <c r="S91" s="182"/>
      <c r="T91" s="182"/>
      <c r="U91" s="182"/>
      <c r="V91" s="182"/>
    </row>
    <row r="92" spans="1:22" s="149" customFormat="1" ht="21">
      <c r="A92" s="182" t="s">
        <v>95</v>
      </c>
      <c r="B92" s="182">
        <v>90</v>
      </c>
      <c r="C92" s="182">
        <v>36</v>
      </c>
      <c r="D92" s="182">
        <v>22</v>
      </c>
      <c r="E92" s="182">
        <f>D92+C92</f>
        <v>58</v>
      </c>
      <c r="F92" s="182"/>
      <c r="G92" s="182"/>
      <c r="H92" s="182"/>
      <c r="I92" s="182"/>
      <c r="J92" s="182"/>
      <c r="K92" s="182"/>
      <c r="L92" s="182"/>
      <c r="M92" s="182"/>
      <c r="N92" s="183">
        <f>C92+F92+H92+J92+L92</f>
        <v>36</v>
      </c>
      <c r="O92" s="183">
        <f t="shared" si="10"/>
        <v>22</v>
      </c>
      <c r="P92" s="183">
        <f t="shared" si="11"/>
        <v>58</v>
      </c>
      <c r="Q92" s="182"/>
      <c r="R92" s="182"/>
      <c r="S92" s="182"/>
      <c r="T92" s="182"/>
      <c r="U92" s="182"/>
      <c r="V92" s="182"/>
    </row>
    <row r="93" spans="1:22" s="160" customFormat="1" ht="21">
      <c r="A93" s="207" t="s">
        <v>207</v>
      </c>
      <c r="B93" s="207">
        <v>14</v>
      </c>
      <c r="C93" s="183">
        <v>4</v>
      </c>
      <c r="D93" s="183">
        <v>10</v>
      </c>
      <c r="E93" s="183">
        <f>D93+C93</f>
        <v>14</v>
      </c>
      <c r="F93" s="183"/>
      <c r="G93" s="183"/>
      <c r="H93" s="183"/>
      <c r="I93" s="183"/>
      <c r="J93" s="183"/>
      <c r="K93" s="183"/>
      <c r="L93" s="183"/>
      <c r="M93" s="183"/>
      <c r="N93" s="183">
        <v>4</v>
      </c>
      <c r="O93" s="183">
        <v>10</v>
      </c>
      <c r="P93" s="183">
        <v>14</v>
      </c>
      <c r="Q93" s="207"/>
      <c r="R93" s="207"/>
      <c r="S93" s="207"/>
      <c r="T93" s="207"/>
      <c r="U93" s="207"/>
      <c r="V93" s="207"/>
    </row>
    <row r="94" spans="1:22" s="160" customFormat="1" ht="42">
      <c r="A94" s="226" t="s">
        <v>208</v>
      </c>
      <c r="B94" s="207">
        <v>45</v>
      </c>
      <c r="C94" s="183">
        <v>43</v>
      </c>
      <c r="D94" s="183">
        <v>59</v>
      </c>
      <c r="E94" s="183">
        <f>D94+C94</f>
        <v>102</v>
      </c>
      <c r="F94" s="183"/>
      <c r="G94" s="183"/>
      <c r="H94" s="183"/>
      <c r="I94" s="183"/>
      <c r="J94" s="183"/>
      <c r="K94" s="183"/>
      <c r="L94" s="183"/>
      <c r="M94" s="183"/>
      <c r="N94" s="183">
        <v>43</v>
      </c>
      <c r="O94" s="183">
        <v>59</v>
      </c>
      <c r="P94" s="183">
        <f>SUM(N94:O94)</f>
        <v>102</v>
      </c>
      <c r="Q94" s="207"/>
      <c r="R94" s="66">
        <v>296900</v>
      </c>
      <c r="S94" s="207">
        <v>244722</v>
      </c>
      <c r="T94" s="66">
        <f>U94-S94</f>
        <v>19250</v>
      </c>
      <c r="U94" s="66">
        <v>263972</v>
      </c>
      <c r="V94" s="224">
        <f>U94/R94*100</f>
        <v>88.90939710340182</v>
      </c>
    </row>
    <row r="96" spans="1:22" s="230" customFormat="1" ht="21" hidden="1">
      <c r="A96" s="227" t="s">
        <v>209</v>
      </c>
      <c r="B96" s="228">
        <v>100</v>
      </c>
      <c r="C96" s="228">
        <v>68</v>
      </c>
      <c r="D96" s="228">
        <v>50</v>
      </c>
      <c r="E96" s="228">
        <f>D96+C96</f>
        <v>118</v>
      </c>
      <c r="F96" s="228"/>
      <c r="G96" s="228"/>
      <c r="H96" s="228"/>
      <c r="I96" s="228"/>
      <c r="J96" s="228"/>
      <c r="K96" s="228"/>
      <c r="L96" s="228"/>
      <c r="M96" s="228"/>
      <c r="N96" s="229">
        <v>68</v>
      </c>
      <c r="O96" s="229">
        <v>50</v>
      </c>
      <c r="P96" s="229">
        <v>118</v>
      </c>
      <c r="Q96" s="228"/>
      <c r="R96" s="228"/>
      <c r="S96" s="228"/>
      <c r="T96" s="228"/>
      <c r="U96" s="228"/>
      <c r="V96" s="228"/>
    </row>
  </sheetData>
  <sheetProtection/>
  <mergeCells count="19">
    <mergeCell ref="B8:V8"/>
    <mergeCell ref="S5:S7"/>
    <mergeCell ref="T5:T7"/>
    <mergeCell ref="U5:U7"/>
    <mergeCell ref="V5:V7"/>
    <mergeCell ref="F6:G6"/>
    <mergeCell ref="H6:I6"/>
    <mergeCell ref="J6:K6"/>
    <mergeCell ref="L6:M6"/>
    <mergeCell ref="A2:V2"/>
    <mergeCell ref="A3:V3"/>
    <mergeCell ref="A4:U4"/>
    <mergeCell ref="A5:A7"/>
    <mergeCell ref="B5:B7"/>
    <mergeCell ref="C5:E6"/>
    <mergeCell ref="F5:M5"/>
    <mergeCell ref="N5:P6"/>
    <mergeCell ref="Q5:Q7"/>
    <mergeCell ref="R5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2014-10-16T06:33:13Z</dcterms:created>
  <dcterms:modified xsi:type="dcterms:W3CDTF">2014-10-16T06:40:32Z</dcterms:modified>
  <cp:category/>
  <cp:version/>
  <cp:contentType/>
  <cp:contentStatus/>
</cp:coreProperties>
</file>