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08" firstSheet="2" activeTab="8"/>
  </bookViews>
  <sheets>
    <sheet name="1.ย่านตาขาว" sheetId="1" r:id="rId1"/>
    <sheet name="2.กันตัง" sheetId="2" r:id="rId2"/>
    <sheet name="3.สิเกา" sheetId="3" r:id="rId3"/>
    <sheet name="4.หาดสำราญ" sheetId="4" r:id="rId4"/>
    <sheet name="5.เมือง" sheetId="5" r:id="rId5"/>
    <sheet name="6.ห้วยยอด" sheetId="6" r:id="rId6"/>
    <sheet name="7.วังวิเศษ" sheetId="7" r:id="rId7"/>
    <sheet name="8.รัษฎา" sheetId="8" r:id="rId8"/>
    <sheet name="9.นาโยง" sheetId="9" r:id="rId9"/>
  </sheets>
  <externalReferences>
    <externalReference r:id="rId12"/>
  </externalReferences>
  <definedNames>
    <definedName name="_xlnm.Print_Area" localSheetId="0">'1.ย่านตาขาว'!$A$1:$V$82</definedName>
    <definedName name="_xlnm.Print_Titles" localSheetId="0">'1.ย่านตาขาว'!$5:$7</definedName>
  </definedNames>
  <calcPr fullCalcOnLoad="1"/>
</workbook>
</file>

<file path=xl/sharedStrings.xml><?xml version="1.0" encoding="utf-8"?>
<sst xmlns="http://schemas.openxmlformats.org/spreadsheetml/2006/main" count="1574" uniqueCount="723">
  <si>
    <t>สรุปผลการดำเนินงานตามกิจกรรม / โครงการ ประจำปีงบประมาณ 2558</t>
  </si>
  <si>
    <t>ประจำเดือนพฤษภาคม  พ.ศ. 2558</t>
  </si>
  <si>
    <t xml:space="preserve">              ศูนย์ กศน.อำเภอ ย่านตาขาว</t>
  </si>
  <si>
    <t>กิจกรรม / โครงการ</t>
  </si>
  <si>
    <t>เป้าหมายทั้งปี (คน/เล่ม)</t>
  </si>
  <si>
    <t xml:space="preserve">ผลการดำเนินงานที่ผ่านมา    </t>
  </si>
  <si>
    <t xml:space="preserve">ผลการดำเนินการเดือนนี้      </t>
  </si>
  <si>
    <t>รวมผลการดำเนินงานทั้งสิ้น</t>
  </si>
  <si>
    <t>คิดเป็นร้อยละของเป้าหมายทั้งปี</t>
  </si>
  <si>
    <t>งบประมาณที่ได้รับจัดสรร(บาท)</t>
  </si>
  <si>
    <t>เบิกจ่ายมาแล้ว</t>
  </si>
  <si>
    <t>ผลการเบิกจ่ายเดือนนี้</t>
  </si>
  <si>
    <t>รวมผลการเบิกจ่ายทั้งสิ้น</t>
  </si>
  <si>
    <t>รวมผลการเบิกจ่ายคิดเป็นร้อยละ</t>
  </si>
  <si>
    <t>ต่ำกว่า 15 ปี</t>
  </si>
  <si>
    <t>15-39 ปี</t>
  </si>
  <si>
    <t>40-59 ปี</t>
  </si>
  <si>
    <t>60 ปีขึ้นไป</t>
  </si>
  <si>
    <t>ช</t>
  </si>
  <si>
    <t>ญ</t>
  </si>
  <si>
    <t xml:space="preserve">รวม    </t>
  </si>
  <si>
    <t>รวม</t>
  </si>
  <si>
    <t>แผนงาน : ขยายโอกาสและพัฒนาคุณภาพการศึกษา</t>
  </si>
  <si>
    <t>ผลผลิตที่ 4 การศึกษานอกระบบ</t>
  </si>
  <si>
    <t xml:space="preserve"> 1. ส่งเสริมการรู้หนังสือ</t>
  </si>
  <si>
    <t>2.ศูนย์ฝึกอาชีพชุมชน</t>
  </si>
  <si>
    <t xml:space="preserve">    2.1  ศูนย์ฝึกอาชีพชุมชน "หนี่งคน หนึ่งอาชีพ"</t>
  </si>
  <si>
    <t xml:space="preserve">    2.2  ศูนย์ฝึกอาชีพชุมชนเพื่อการมีงานทำ</t>
  </si>
  <si>
    <t xml:space="preserve">         1. หลักสูตรการทำปุ๋ยชีวภาพ (เกาะเปีย)</t>
  </si>
  <si>
    <t xml:space="preserve">         2. หลักสูตรตัดเย็บเสื้อผ้า (ทุ่งกระบือ)</t>
  </si>
  <si>
    <t xml:space="preserve">         3. หลักสูตรช่างไม้(โพรงจระเข้)</t>
  </si>
  <si>
    <t xml:space="preserve">         4. หลักสูตรธรุกิจขนมไทย(ศรช.)</t>
  </si>
  <si>
    <t xml:space="preserve">         5. หลักสูตรธุรกิจขนมไทย(ในควน)</t>
  </si>
  <si>
    <t xml:space="preserve">         6. หลักสูตรการเพาะเห็ดนางฟ้า(หนองบ่อ)</t>
  </si>
  <si>
    <t xml:space="preserve">         7. หลักสูตรการเลี้ยงไก่พื้นเมือง(นาชุมเห็ด)</t>
  </si>
  <si>
    <t xml:space="preserve">         8. หลักสูตรการเลี้ยงไก่พื้นเมือง(ย่านตาขาว)</t>
  </si>
  <si>
    <t xml:space="preserve">         9. หลักสูตรการเพาะเห็ดนางฟ้า(ทุ่งค่าย)</t>
  </si>
  <si>
    <t xml:space="preserve">         10. โครงการศึกษาดูงานอาชีพเพื่อการมีงานทำ</t>
  </si>
  <si>
    <t xml:space="preserve"> 3. พัฒนาทักษะชีวิต</t>
  </si>
  <si>
    <t xml:space="preserve">    - โครงการเยาวชนรุ่นใหม่ร่วมใจต้านภัยยาเสพติด</t>
  </si>
  <si>
    <t xml:space="preserve"> 4. พัฒนาสังคมและชุมชน</t>
  </si>
  <si>
    <t xml:space="preserve">    - โครงการปลูกป่าชายเลน</t>
  </si>
  <si>
    <t xml:space="preserve">    - จัดนิทรรศการเปิดบ้านวิชาการ สืบสานงานอาชีพ ฝึกอาชีพการประดิษฐ์กิ๊ฟแฟชั่นและดอกไม้โปรยทาน</t>
  </si>
  <si>
    <t xml:space="preserve">    - โครงการกิจกรรมส่งเสริมและศึกษาภูมิปัญญาเพื่อการเรียนรู้ในชุมชน</t>
  </si>
  <si>
    <t xml:space="preserve">    - โครงการจัดการศึกษาเพื่อพัฒนาสังคมและชุมชน กิจกรรมผู้สูงอายุ ศึกษาแหล่งเรียนรู้จังหวัดตรัง</t>
  </si>
  <si>
    <t xml:space="preserve"> 5. เศรษฐกิจพอเพียง</t>
  </si>
  <si>
    <t xml:space="preserve">      - โครงการส่งเสริมคุณภาพชีวิตตามแนวปรัชญาเศรษฐกิจพอเพียง "ในควนน่าอยู่"</t>
  </si>
  <si>
    <t xml:space="preserve">     - โครงการจัดกระบวนการเรียนรู้ตามหลักปรัชญาของเศรษฐกิจพอเพียง</t>
  </si>
  <si>
    <t xml:space="preserve">    - โครงการติดตามผลการดำเนินงานหมู่บ้านเศรษฐกิจพอเพียง</t>
  </si>
  <si>
    <t xml:space="preserve"> 6. พัฒนาคุณภาพชีวิตผู้สูงอายุ</t>
  </si>
  <si>
    <t xml:space="preserve"> 7. พัฒนาคุณภาพชีวิตคนพิการ</t>
  </si>
  <si>
    <t xml:space="preserve">     - กิจกรรมจัดการเรียนการสอนคนพิการ</t>
  </si>
  <si>
    <t>นโยบายส่งเสริมการจัดการศึกษาสำหรับกลุ่มเป้าหมายพิเศษ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</si>
  <si>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</si>
  <si>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</si>
  <si>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</si>
  <si>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</si>
  <si>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</si>
  <si>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12. เปิดโลกการเรียนรู้ให้ผู้สูงอายุในสังคมพหุวัฒนธรรม</t>
  </si>
  <si>
    <t xml:space="preserve"> 13. เปิดโลกเรียนรู้ภาษาพาสันติสุข</t>
  </si>
  <si>
    <t xml:space="preserve"> 14. พัฒนาศักยภาพครู ในการจัดกระบวนการเรียนรู้ฯ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</si>
  <si>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</si>
  <si>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</si>
  <si>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ผลผลิตที่ 5  การศึกษาตามอัธยาศัย</t>
  </si>
  <si>
    <t xml:space="preserve"> 1. จำนวนผู้รับบริการใช้ห้องสมุด</t>
  </si>
  <si>
    <t xml:space="preserve"> 2. จำนวนสมาชิกห้องสมุดรวม</t>
  </si>
  <si>
    <t xml:space="preserve"> 3. จำนวนผู้เข้าร่วมกิจกรรมส่งเสริมการอ่าน</t>
  </si>
  <si>
    <t xml:space="preserve">    3.1 ส่งเสริมการอ่านโดยรถโมบาย</t>
  </si>
  <si>
    <t xml:space="preserve">    3.2 มุมส่งเสริมการอ่านในสถานประกอบการและสถานที่ราชการ</t>
  </si>
  <si>
    <t xml:space="preserve">    3.3  มหกรรมวิชาชีพ "เปิดประตูรั้วโรงเรียนทุ่งหนองแห้งประชาสรรค์"</t>
  </si>
  <si>
    <t xml:space="preserve">   3.4 เล่านิทาน  อ่านหนังสือ</t>
  </si>
  <si>
    <t xml:space="preserve"> 4. จัดกิจกรรมการศึกษาตามอัธยาศัยใน กศน.ตำบล</t>
  </si>
  <si>
    <t xml:space="preserve">   4.1 ผู้ใช้บริการใน กศน.ตำบล</t>
  </si>
  <si>
    <t xml:space="preserve">   4.2  ผู้ใช้บริการส่งเสริมการอ่านใน กศน.ตำบล</t>
  </si>
  <si>
    <t xml:space="preserve">   4.3  ผู้ใช้บริการมุมส่งเสริมการอ่านในหน่วยงานราชการและสถานประกอบการ</t>
  </si>
  <si>
    <t>5. จัดกิจกรรมบ้านหนังสืออัจฉริยะ</t>
  </si>
  <si>
    <t xml:space="preserve">  5.1 ผู้ใช้บริการในบ้านหนังสืออัจฉริยะ</t>
  </si>
  <si>
    <t>แผนสนับสนุนจัดการศึกษาขั้นพื้นฐาน 15 ปี</t>
  </si>
  <si>
    <t xml:space="preserve">  1. จำนวนผู้ได้รับหนังสือเรียน</t>
  </si>
  <si>
    <t xml:space="preserve">  2. พัฒนาคุณภาพผู้เรียน</t>
  </si>
  <si>
    <t xml:space="preserve">   - โครงการเสริมสร้างค่านิยมหลัก 12 ประการของคนไทย</t>
  </si>
  <si>
    <t xml:space="preserve">   - โครงการอบรมอาสายุวกาชาด หลักสูตรพื้นฐานยุวกาชาด</t>
  </si>
  <si>
    <t xml:space="preserve">   - โครงการค่ายวิชาการ</t>
  </si>
  <si>
    <t xml:space="preserve">   - โครงการ TO BE NUMBER ONE</t>
  </si>
  <si>
    <t xml:space="preserve">   - โครงการเฉลิมพระเกียตริพระบาทสมเด็จพระเทพรัตนราชสุดาสยามบรมราชกุมารี ในวโรกาสพระชนมายุครบ 60 พรรษา</t>
  </si>
  <si>
    <t xml:space="preserve"> 3. จำนวนนักศึกษาหลักสูตรการศึกษาขั้นพื้นฐาน</t>
  </si>
  <si>
    <t xml:space="preserve">         - ประถม</t>
  </si>
  <si>
    <t xml:space="preserve">         - มัธยมศึกษาตอนต้น</t>
  </si>
  <si>
    <t xml:space="preserve">         - มัธยมศึกษาตอนปลาย</t>
  </si>
  <si>
    <t xml:space="preserve"> 4. จำนวนนักศึกษาที่จบหลักสูตรการศึกษาขั้นพื้นฐาน</t>
  </si>
  <si>
    <t xml:space="preserve"> 5. การประเมินเทียบระดับการศึกษาขั้นพื้นฐาน(ปกติ)</t>
  </si>
  <si>
    <t xml:space="preserve"> 6. การประเมินเทียบระดับการศึกษาในระดับสูงสุดของการศึกษาขั้นพื้นฐาน</t>
  </si>
  <si>
    <t>7. จำนวนผู้จบเทียบระดับการศึกษาในระดับสูงสุดของการศึกษาขั้นพื้นฐาน</t>
  </si>
  <si>
    <t xml:space="preserve">   3.3 ลูกเสือชาวบ้าน</t>
  </si>
  <si>
    <t>ประจำเดือน   พฤษภาคม   พ.ศ.  2558</t>
  </si>
  <si>
    <t>ศูนย์ กศน.อำเภอกันตัง</t>
  </si>
  <si>
    <t xml:space="preserve">รวมผลการดำเนินงาน ที่ผ่านมา    </t>
  </si>
  <si>
    <t>รวมผลการดำเนินงานเดือนนี้</t>
  </si>
  <si>
    <t xml:space="preserve">    รวม    </t>
  </si>
  <si>
    <t xml:space="preserve"> 2. ศูนย์ฝึกอาชีพชุมชน</t>
  </si>
  <si>
    <t>กศน.ตำบลกันตัง</t>
  </si>
  <si>
    <t xml:space="preserve">  1. การซ่อมแซมและดัดแปลงรูปทรงเสื้อผ้า</t>
  </si>
  <si>
    <t xml:space="preserve">  2. การดูแลผู้สูงอายุเบื้องต้น</t>
  </si>
  <si>
    <t xml:space="preserve">  3. การซ่อมกระเป๋า</t>
  </si>
  <si>
    <t>กศน.ตำบลควนธานี</t>
  </si>
  <si>
    <t xml:space="preserve">  1. การเลี้ยงไก่พื้นเมือง</t>
  </si>
  <si>
    <t xml:space="preserve">  2. การปลูกผักพืชผักเกษตรอินทรีย์ธรรมชาติ</t>
  </si>
  <si>
    <t xml:space="preserve">  3. การทำปุ๋ยชีวภาพ</t>
  </si>
  <si>
    <t>กศน.ตำบลบางหมาก</t>
  </si>
  <si>
    <t xml:space="preserve">  2. การทำผ้าบาติก</t>
  </si>
  <si>
    <t xml:space="preserve">  3. การเพาะเห็ดนางฟ้า-นางรม</t>
  </si>
  <si>
    <t xml:space="preserve">  4. การทำปุ๋ยชีวภาพ</t>
  </si>
  <si>
    <t xml:space="preserve"> </t>
  </si>
  <si>
    <t>กศน.ตำบลบางเป้า</t>
  </si>
  <si>
    <t xml:space="preserve">  1. การทำธุรกิจขนมไทย</t>
  </si>
  <si>
    <t xml:space="preserve">  2. การทำหรอบรูปวิทยาศาสตร์</t>
  </si>
  <si>
    <t xml:space="preserve">  3. การปลูกพืชผักเกษตรอินทรีย์</t>
  </si>
  <si>
    <t>กศน.ตำบลวังวน</t>
  </si>
  <si>
    <t xml:space="preserve">  1. การทำจักสานก้านจาก</t>
  </si>
  <si>
    <r>
      <t xml:space="preserve">  </t>
    </r>
    <r>
      <rPr>
        <sz val="16"/>
        <rFont val="TH SarabunPSK"/>
        <family val="2"/>
      </rPr>
      <t>2. การประดิษฐ์และแปรรูปกระดาษจาก</t>
    </r>
  </si>
  <si>
    <t xml:space="preserve">  3. การประดิษฐ์และแปรรูปกระดาษจาก</t>
  </si>
  <si>
    <t xml:space="preserve">  4. การเลี้ยงไก่พื้นเมือง</t>
  </si>
  <si>
    <t>กศน.ตำบลกันตังใต้</t>
  </si>
  <si>
    <r>
      <t xml:space="preserve">  </t>
    </r>
    <r>
      <rPr>
        <sz val="16"/>
        <rFont val="TH SarabunPSK"/>
        <family val="2"/>
      </rPr>
      <t>1. การเพาะเห็ดนางฟ้า-นางรม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</si>
  <si>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การเลี้ยงไก่พื้นเมือง</t>
    </r>
  </si>
  <si>
    <t xml:space="preserve">  3. การทำธุรกิจขนมไทย</t>
  </si>
  <si>
    <t>กศน.ตำบลโคกยาง</t>
  </si>
  <si>
    <t xml:space="preserve">  2. การเพาะเห็ดนางฟ้า-นางรม</t>
  </si>
  <si>
    <t xml:space="preserve">  3. การเลี้ยงไก่พื้นเมือง</t>
  </si>
  <si>
    <t>กศน.ตำบลคลองลุ</t>
  </si>
  <si>
    <t xml:space="preserve">  1. การเพาะเห็ดนางฟ้า-นางรม</t>
  </si>
  <si>
    <t xml:space="preserve">  2. การเลี้ยงปลาในกระชัง</t>
  </si>
  <si>
    <t>กศน.ตำบลย่านซื่อ</t>
  </si>
  <si>
    <t xml:space="preserve">  2. การทำธุรกิจขนมไทย</t>
  </si>
  <si>
    <t>กศน.ตำบลบ่อน้ำร้อน</t>
  </si>
  <si>
    <t xml:space="preserve">  2. การทำปุ๋ยชีวภาพ</t>
  </si>
  <si>
    <t xml:space="preserve">  3. การเลี้ยงปลาดุกในบ่อพลาสติก</t>
  </si>
  <si>
    <t>กศน.ตำบลบางสัก</t>
  </si>
  <si>
    <t xml:space="preserve">  2. การเลี้ยงปลาดุกในบ่อพลาสติก</t>
  </si>
  <si>
    <t>กศน.ตำบลนาเกลือ</t>
  </si>
  <si>
    <t xml:space="preserve">  2. การเลี้ยงไก่พื้นเมือง</t>
  </si>
  <si>
    <t>กศน.ตำบลเกาะลิบง</t>
  </si>
  <si>
    <t xml:space="preserve">  1. การปูกระเบื้อง</t>
  </si>
  <si>
    <t xml:space="preserve">  3. การแปรรูปอาหารทะเล</t>
  </si>
  <si>
    <t>กศน.ตำบคลองชีล้อม</t>
  </si>
  <si>
    <t xml:space="preserve">  4. การเพาะเห็ดนางฟ้า-นางรม</t>
  </si>
  <si>
    <t>ศรช.บ้านควนทองสีห์</t>
  </si>
  <si>
    <t xml:space="preserve">  2. การทำกรอบรูปวิทยาศาสตร์</t>
  </si>
  <si>
    <t>ศรช.บ้านเกาะมุกด์</t>
  </si>
  <si>
    <t xml:space="preserve">  1. การส่งเสริมสุขภาพผู้สูงอายุ</t>
  </si>
  <si>
    <t xml:space="preserve">  2. อบรมเยาวชนรุ่นใหม่ป้องกันยาเสพติด</t>
  </si>
  <si>
    <t xml:space="preserve">  1. อบรมการดูแลผู้สูงอายุและการอยู่ร่วมกับผู้สูงอายุ</t>
  </si>
  <si>
    <t xml:space="preserve">  2. อบรมการให้ความรู้เรื่องยาเสพติด</t>
  </si>
  <si>
    <t xml:space="preserve">  1. อบรมการดูแลและการอยู่ร่วมกับผู้สูงอายุ</t>
  </si>
  <si>
    <t xml:space="preserve">  2. กิจกรรมอบรมส่งเสริมประชาธิปไตย</t>
  </si>
  <si>
    <t xml:space="preserve">  3. กิจกรรมอบรมให้ความรู้เรื่องยาเสพติด</t>
  </si>
  <si>
    <t xml:space="preserve">  1. การสร้างภูมิคุ้มกันและป้องกันยาเสพติด</t>
  </si>
  <si>
    <t xml:space="preserve">  2. การอนุรักษืพลังงานและสิ่งแวดล้อม</t>
  </si>
  <si>
    <t xml:space="preserve">  3. การดูแลส่งเสริมสุขภาพจิตของตนเองและผู้สูงอายุ</t>
  </si>
  <si>
    <t xml:space="preserve">  1. การดูแลส่งเสริมสุขภาพจิตของตนเองและผู้สูงอายุ</t>
  </si>
  <si>
    <r>
      <t xml:space="preserve">  </t>
    </r>
    <r>
      <rPr>
        <sz val="16"/>
        <rFont val="TH SarabunPSK"/>
        <family val="2"/>
      </rPr>
      <t>2. อบรมการป้องกันและแก้ปัญหายาเสพติด</t>
    </r>
  </si>
  <si>
    <t xml:space="preserve">  3. กิจกรรมอนุรักษ์ป่าชายเลน</t>
  </si>
  <si>
    <r>
      <t xml:space="preserve">  </t>
    </r>
    <r>
      <rPr>
        <sz val="16"/>
        <rFont val="TH SarabunPSK"/>
        <family val="2"/>
      </rPr>
      <t>1. กิจกรรมวันเด็กแห่งชาติ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</si>
  <si>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กิจกรรมกีฬาต้านยาเสพติด</t>
    </r>
  </si>
  <si>
    <t xml:space="preserve">  3. กิจกรรมส่งเสริมและดูแลผู้สูงอายุ</t>
  </si>
  <si>
    <t xml:space="preserve">  2. การส่งเสริมประชาธิปไตย</t>
  </si>
  <si>
    <t xml:space="preserve">  1. กิจกรรมให้ความรู้เรื่องยาเสพติด</t>
  </si>
  <si>
    <t xml:space="preserve">  2. อบรมให้ความรู้ สุขภาพอนามัยให้เยาวชน</t>
  </si>
  <si>
    <t xml:space="preserve">  1. อบรมป้องกันยาเสพติด</t>
  </si>
  <si>
    <t xml:space="preserve">  2. อบรมผู้สูงอายุ</t>
  </si>
  <si>
    <t xml:space="preserve">  3. อบรมประชาธิปไตย</t>
  </si>
  <si>
    <t xml:space="preserve">  2. การดูแลสุขภาพกายและจิต ผู้สูงอายุ</t>
  </si>
  <si>
    <t xml:space="preserve">  1. ส่งเสริมวัยรุ่นยุคใหม่ไม่ท้องก่อนวัย</t>
  </si>
  <si>
    <t xml:space="preserve">  1. กิจกรรมการตรวจสุขภาพและการดูแลผู้สูงอายุ</t>
  </si>
  <si>
    <t xml:space="preserve">  2. กิจกรรมการสร้างภูมิคุ้มกันและการป้องกันยาเสพติด</t>
  </si>
  <si>
    <t xml:space="preserve">  2. กิจกรรมอบรมพัฒนาคุณภาพเด็กและครอบครัว</t>
  </si>
  <si>
    <t xml:space="preserve">  2. ให้ความรู้เรื่องยาเสพติด</t>
  </si>
  <si>
    <t xml:space="preserve">  2. การอนุรักษ์พลังงานและสิ่งแวดล้อม</t>
  </si>
  <si>
    <t xml:space="preserve">  3. การดูแลส่งเสริมสุขภาพผู้สูงอายุ</t>
  </si>
  <si>
    <t xml:space="preserve">  1. กิจกรรมรักษ์พลังงานและสิ่งแวดล้อม</t>
  </si>
  <si>
    <t xml:space="preserve">  2. อบรมการเสริมสร้างค่านิยมหลัก 12 ประการ</t>
  </si>
  <si>
    <t xml:space="preserve">  3. การส่งเสริมประเพณีและวัฒนธรรม</t>
  </si>
  <si>
    <t xml:space="preserve">  4. การทำผ้าบาติก</t>
  </si>
  <si>
    <t xml:space="preserve">  5. อบรมการทำกิ๊บติดผม</t>
  </si>
  <si>
    <t xml:space="preserve">  6. อบรมการเพ้นแก้ว</t>
  </si>
  <si>
    <t xml:space="preserve">  1. อบรมการส่งเสริมคุณธรรมค่านิยมหลัก 12 ประการ</t>
  </si>
  <si>
    <t xml:space="preserve">  3. การศึกษาดูงานแหล่งเรียนรู้ในกลุ่มผู้สูงอายุ</t>
  </si>
  <si>
    <t xml:space="preserve">  4. การทำผ้ามัดย้อม</t>
  </si>
  <si>
    <t xml:space="preserve">  5. การทำดอกไม้จากกระดาษจาก</t>
  </si>
  <si>
    <t xml:space="preserve">  1. กิจกรรมสร้างเสริมคุณธรรมจริยธรรม ค่านิยม 12 ประการ</t>
  </si>
  <si>
    <t xml:space="preserve">  2. อบรมการทำผ้าบาติก</t>
  </si>
  <si>
    <t xml:space="preserve">  3. อบรมการเลี้ยงปลาดุกในบ่อพลาสติก</t>
  </si>
  <si>
    <t xml:space="preserve">  1. การส่งเสริมคุณธรรมค่านิยมหลัก 12 ประการ</t>
  </si>
  <si>
    <t xml:space="preserve">  2. อบรมการดูแลสุขภาพกายจิตให้กับเยาวชนและประชาชน</t>
  </si>
  <si>
    <t xml:space="preserve">  3. กิจกรรมแสดงออกความจงรักภักดีและพัฒนาชุมชน</t>
  </si>
  <si>
    <t xml:space="preserve">  1. ส่งเสริมคุณธรรม จริยธรรม ค่านิยม 12 ประการ</t>
  </si>
  <si>
    <r>
      <t xml:space="preserve">  </t>
    </r>
    <r>
      <rPr>
        <sz val="16"/>
        <rFont val="TH SarabunPSK"/>
        <family val="2"/>
      </rPr>
      <t>2. การแปรรูปกระดาษจาก</t>
    </r>
  </si>
  <si>
    <t xml:space="preserve">  3. กิจกรรมแสดงความภักดีและพัฒนาชุมชนตำบลวังวน</t>
  </si>
  <si>
    <r>
      <t xml:space="preserve">  </t>
    </r>
    <r>
      <rPr>
        <sz val="16"/>
        <rFont val="TH SarabunPSK"/>
        <family val="2"/>
      </rPr>
      <t>1. กิจกรรมแสดงความภักดีและพัฒนาชุมชนตำบลกันตังใต้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</si>
  <si>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ส่งเสริมคุณธรรม จริยธรรม ค่านิยม 12 ประการ</t>
    </r>
  </si>
  <si>
    <t xml:space="preserve">  1. การทำผ้าบาติก</t>
  </si>
  <si>
    <t xml:space="preserve">  2. ส่งเสริมคุณธรรม จริยธรรม ค่านิยม 12 ประการ</t>
  </si>
  <si>
    <t xml:space="preserve">  3. การทำหมี่ทรงเครื่อง</t>
  </si>
  <si>
    <t xml:space="preserve">  2. การสร้างเสริมคุณธรรม ค่านิยม 12 ประการ</t>
  </si>
  <si>
    <t xml:space="preserve">  3. อบรมการทำผ้าบาติก</t>
  </si>
  <si>
    <t xml:space="preserve">  2. การอนุรักษ์วัฒนธรรมประเพณี และกิจกรรมวันสำคัญฯ</t>
  </si>
  <si>
    <t xml:space="preserve">  1. จัดกิจกรรมเสวนาคุณธรรม 12 ประการ</t>
  </si>
  <si>
    <t xml:space="preserve">  2. จัดสอนการทำดอกไม้ใบเตย</t>
  </si>
  <si>
    <t xml:space="preserve">  3. การทำผ้าบาติก-ผ้ามัดย้อม</t>
  </si>
  <si>
    <t xml:space="preserve">  1. กิจกรรมอบรมผู้สูงอายุ</t>
  </si>
  <si>
    <t xml:space="preserve">  1. อบรมความรู้เรื่องภาษาอังกฤษเพื่อการสื่อสาร</t>
  </si>
  <si>
    <t xml:space="preserve">  1. อบรมร่วมใจแสดงความจงรักภักดีฯ</t>
  </si>
  <si>
    <t xml:space="preserve">  3. กิจกรรมมัคคุเทศน์น้อย</t>
  </si>
  <si>
    <t xml:space="preserve">  4. กิจกรรมวันสำคัญทางศาสนา</t>
  </si>
  <si>
    <t xml:space="preserve">  2. กิจกรรมแสดงความจงรักภักดีฯ</t>
  </si>
  <si>
    <t xml:space="preserve">  3. กิจกรรมแสดงความภักดีและพัฒนาชุมชน</t>
  </si>
  <si>
    <t xml:space="preserve">  1. อบรมมัคคุเทศน์</t>
  </si>
  <si>
    <t xml:space="preserve">  3. อบรมการดูแลสุขภาพกายจิตให้เยาวชนและประชาชน</t>
  </si>
  <si>
    <t xml:space="preserve">  4. กิจกรรมแสดงความจงรักภักดีและพัฒนาชุมชน</t>
  </si>
  <si>
    <t xml:space="preserve">  1. พัฒนาแหล่งเรียนรู้ตามหลักปรัชญาเศรษฐกิจพอเพียง</t>
  </si>
  <si>
    <t xml:space="preserve">  2. อบรมบัญชีรายรับ-รายจ่าย</t>
  </si>
  <si>
    <t xml:space="preserve">  3. บ้านสวยด้วยพืชปลอดสารพิษ</t>
  </si>
  <si>
    <t xml:space="preserve">  4. อบรมหลักสูตรปรัชญาของเศรษฐกิจพอเพียงในครัวเรือน</t>
  </si>
  <si>
    <t xml:space="preserve">  1. การทำปุ๋ยน้ำหมักชีวภาพ</t>
  </si>
  <si>
    <t xml:space="preserve">  3. อบรมการปลูกผักปลอดสารพิษ</t>
  </si>
  <si>
    <t xml:space="preserve">  4. ศึกษาดูงานแหล่งเรียนรู้เศรษฐกิจพอเพียง</t>
  </si>
  <si>
    <t xml:space="preserve">  1. อบรมการทำบัญชีรายรับ-รายจ่าย</t>
  </si>
  <si>
    <t xml:space="preserve">  2. อบรมการทำปุ๋ยน้ำหมักชีวภาพ</t>
  </si>
  <si>
    <t xml:space="preserve">  1. อบรมบัญชีครัวเรือน</t>
  </si>
  <si>
    <t xml:space="preserve">  2. การปลูกผักปลอดสารพิษ</t>
  </si>
  <si>
    <t xml:space="preserve">  3. ศึกษาดูงานแหล่งเรียนรู้เศรษฐกิจพอเพียง</t>
  </si>
  <si>
    <t xml:space="preserve">  1. การปลูกผักปลอดสารพิษ</t>
  </si>
  <si>
    <r>
      <t xml:space="preserve">  </t>
    </r>
    <r>
      <rPr>
        <sz val="16"/>
        <rFont val="TH SarabunPSK"/>
        <family val="2"/>
      </rPr>
      <t>2. การอบรมบัญชีรายรับรายจ่าย</t>
    </r>
  </si>
  <si>
    <r>
      <t xml:space="preserve">  </t>
    </r>
    <r>
      <rPr>
        <sz val="16"/>
        <rFont val="TH SarabunPSK"/>
        <family val="2"/>
      </rPr>
      <t>1. ศึกษาดูงานแหล่งเรียนรู้เศรษฐกิจพอเพียง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</si>
  <si>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อบรมบัญชีครัวเรือน</t>
    </r>
  </si>
  <si>
    <t xml:space="preserve">  3. การปลูกผักปลอดสารพิษ</t>
  </si>
  <si>
    <t xml:space="preserve">  2. การทำบัญชีครัวเรือน</t>
  </si>
  <si>
    <t xml:space="preserve">  1. ศึกษาดูงานแหล่งเรียนรู้เศรษฐกิจพอเพียง</t>
  </si>
  <si>
    <t xml:space="preserve">  2. การทำปุ๋ยหมักชีวภาพ</t>
  </si>
  <si>
    <t xml:space="preserve">  3. การทำบัญชีรายรับ รายจ่าย</t>
  </si>
  <si>
    <t xml:space="preserve">  2. อบรมบัญชีครัวเรือน</t>
  </si>
  <si>
    <t xml:space="preserve">  1. การทำบัญชีรายรับ-รายจ่าย</t>
  </si>
  <si>
    <t xml:space="preserve">  1. การปลูกผักสวนครัวรั้วกินได้</t>
  </si>
  <si>
    <t xml:space="preserve">  2. ปลูกผักปลอดสารพิษ</t>
  </si>
  <si>
    <t xml:space="preserve">  3. อบรมบัญชีครัวเรือน</t>
  </si>
  <si>
    <t xml:space="preserve">  1. กิจกรรมจัดทำกระชังหรือธนาคารปูมาไข่นอกกระดอง</t>
  </si>
  <si>
    <t xml:space="preserve"> 1. จำนวนผู้รับบริการการใช้ห้องสมุด</t>
  </si>
  <si>
    <t xml:space="preserve"> 2. จำนวนสมาชิกห้องสมุด</t>
  </si>
  <si>
    <t xml:space="preserve">    3.1 ห้องสมุดเคลื่อนที่</t>
  </si>
  <si>
    <t xml:space="preserve">    3.2 ความรู้สู่ประตูบ้าน</t>
  </si>
  <si>
    <t xml:space="preserve">    3.3 บริการอินเทอร์เน็ต</t>
  </si>
  <si>
    <t xml:space="preserve">  1. จัดนิทรรศการวันสำคัญ</t>
  </si>
  <si>
    <t xml:space="preserve">  2. ส่งเสริมความรู้สู่ประตูอาเซียน</t>
  </si>
  <si>
    <t xml:space="preserve">  3. กิจกรรมส่งเสริมการอ่านในกศน.ตำบล</t>
  </si>
  <si>
    <t xml:space="preserve">  4. กิจกรรมส่งเสริมการอ่านเคลื่อนที่ภายในตำบล</t>
  </si>
  <si>
    <t xml:space="preserve">  5. จัดมุมรัการอ่านในสถานประกอบการ</t>
  </si>
  <si>
    <t xml:space="preserve">  1. ส่งเสริมการอ่านเคลื่อนที่</t>
  </si>
  <si>
    <t xml:space="preserve">  2. ส่งเสริมการอ่านใน รพ.สต.ควนธานี</t>
  </si>
  <si>
    <t xml:space="preserve">  3. ส่งเสริมการอ่านบ้านครู กศน.ตำบล</t>
  </si>
  <si>
    <t xml:space="preserve">  4. ส่งเสริมการอ่านใน กศน.ตำบล</t>
  </si>
  <si>
    <t xml:space="preserve">  1. ส่งเสริมการอ่านใน กศน.ตำบล</t>
  </si>
  <si>
    <t xml:space="preserve">  2. ส่งเสริมการอ่านในบ้านครู กศน.ตำบล</t>
  </si>
  <si>
    <t xml:space="preserve">  3. มุมหนังสือประจำหมู่บ้าน</t>
  </si>
  <si>
    <t xml:space="preserve">  4. มุมหนังสือใน รพ.สต.บ้านตะคียนหลบฟ้า</t>
  </si>
  <si>
    <t xml:space="preserve">  1. ส่งเสริมการอ่านภายใน กศน.ตำบล</t>
  </si>
  <si>
    <t xml:space="preserve">  2. จัดนิทรรศการส่งเสริมความรู้สู่ประตูอาเซียน</t>
  </si>
  <si>
    <t xml:space="preserve">  3. จัดการอ่านเคลื่อนที่</t>
  </si>
  <si>
    <t xml:space="preserve">  4. จัดมุมรักการอ่านใน รพ.สต.บางเป้า</t>
  </si>
  <si>
    <t xml:space="preserve">  2. ส่งเสริมการอ่านบ้าน ครู กศน.</t>
  </si>
  <si>
    <t xml:space="preserve">  3. ส่งเสริมความรู้สู่ประชาคมอาเซียน</t>
  </si>
  <si>
    <t xml:space="preserve">  4. มุมรักการอ่านใน รพ.สต.วังวน</t>
  </si>
  <si>
    <t xml:space="preserve">  5. ส่งเสริมการอ่านชุมชนรักการอ่านบ้านนายยอดทอง</t>
  </si>
  <si>
    <t xml:space="preserve">  2. ส่งเสริมการอ่านบ้านครู กศน.ตำบล</t>
  </si>
  <si>
    <t xml:space="preserve">  4. ส่งเสริมการอ่านเคลื่อนที่</t>
  </si>
  <si>
    <t xml:space="preserve">  2. ส่งเสริมการอ่านเคลื่อนที่</t>
  </si>
  <si>
    <t xml:space="preserve">  3. ส่งเสริมการอ่านใน อบต.โคกยาง</t>
  </si>
  <si>
    <t xml:space="preserve">  4. ส่งเสริมการอ่านที่บ้านครู กศน.</t>
  </si>
  <si>
    <t xml:space="preserve">  1. อำเภอยิ้มเคลื่อนที่</t>
  </si>
  <si>
    <t xml:space="preserve">  2. มุมส่งเสริมการอ่านใน กศน.ตำบล</t>
  </si>
  <si>
    <t xml:space="preserve">  3. มุมส่งเสริมการอ่านใน รพ.สต.บ้านคลองลุ</t>
  </si>
  <si>
    <t xml:space="preserve">  4. มุมหนังสือบ้านครู</t>
  </si>
  <si>
    <t xml:space="preserve">  5. กิจกรรมส่งเสริมความรู้ประชาคมอาเซียน</t>
  </si>
  <si>
    <t xml:space="preserve">  1. ส่งเสริมการอ่านกิจกรรมอำเภอยิ้ม</t>
  </si>
  <si>
    <t xml:space="preserve">  2. ส่งเสริมการอ่านใน กศน.ตำบล</t>
  </si>
  <si>
    <t xml:space="preserve">  3. มุมหนังสือใน รพ.สต.ตำบลย่านซื่อ</t>
  </si>
  <si>
    <t xml:space="preserve">  4. มุมส่งเสริมการอ่านบ้านครู กศน.ตำบล</t>
  </si>
  <si>
    <t xml:space="preserve">  2. ส่งเสริมการอ่านใน วนอุทยานบ่อน้ำร้อน</t>
  </si>
  <si>
    <t xml:space="preserve">  3. ส่งเสริมการอ่านใน รพ.สต.บ่อน้ำร้อน</t>
  </si>
  <si>
    <t xml:space="preserve">  4. จัดกิจกรรมการอ่านเคลื่อนที่</t>
  </si>
  <si>
    <t xml:space="preserve">  5. ส่งเสริมการอ่านใน อบต.</t>
  </si>
  <si>
    <t xml:space="preserve">  6. จัดกิจกรรมส่งเสริมการอ่านในศูนย์พัฒนาเด็กเล็ก 3 แห่ง</t>
  </si>
  <si>
    <t xml:space="preserve">  1. ส่งเสริมการอ่านใน กศน.ตำบลบางสัก</t>
  </si>
  <si>
    <t xml:space="preserve">  2. ส่งเสริมการอ่านในสถานประกอบการ</t>
  </si>
  <si>
    <t xml:space="preserve">  3. ส่งเสริมการอ่านอำเภอยิ้มเคลื่อนที่</t>
  </si>
  <si>
    <t xml:space="preserve">  1. ส่งเสริมการอ่านใน กศน.ตำบลนาเกลือ</t>
  </si>
  <si>
    <t xml:space="preserve">  2. ส่งเสริมการอ่านบ้านครู กศน.ตำบลนาเกลือ</t>
  </si>
  <si>
    <t xml:space="preserve">  2. มุมรักการอ่านใน รพ.สต.</t>
  </si>
  <si>
    <t xml:space="preserve">  3. จัดนิทรรศการส่งเสริมความรู้ประชาคมอาเซียน</t>
  </si>
  <si>
    <t>กศน.ตำบลคลองชีล้อม</t>
  </si>
  <si>
    <r>
      <t xml:space="preserve">  </t>
    </r>
    <r>
      <rPr>
        <sz val="16"/>
        <rFont val="TH SarabunPSK"/>
        <family val="2"/>
      </rPr>
      <t>1. อำเภอยิ้มเคลื่อนที่</t>
    </r>
  </si>
  <si>
    <t xml:space="preserve">  2. ส่งเสริมการอ่านใน รพ.สต.</t>
  </si>
  <si>
    <t xml:space="preserve">  3. ส่งเสริมการอ่าน กศน.ตำบล</t>
  </si>
  <si>
    <t xml:space="preserve">  1. จัดนิทรรศการส่งเสริมความรู้ประชาคมอาเซียน</t>
  </si>
  <si>
    <t xml:space="preserve">  2. จัดกิจกรรมการอ่านเคลื่อนที่</t>
  </si>
  <si>
    <t xml:space="preserve">  3. จัดมุมรักการอ่านใน รพ.สต.</t>
  </si>
  <si>
    <t xml:space="preserve">  1. หมู่ 1 บ้านเกาะยาว</t>
  </si>
  <si>
    <t xml:space="preserve">  2. หมู่ 4 บ้านนาใน</t>
  </si>
  <si>
    <t xml:space="preserve">  3. หมู่ 5 บ้านบินหยี</t>
  </si>
  <si>
    <t xml:space="preserve">  4. หมู่ 6 บ้านบางหมากน้อย</t>
  </si>
  <si>
    <t xml:space="preserve">  1. บ้านหนังสืออัจฉริยะหมู่ 2 บ้านพรุใหญ่</t>
  </si>
  <si>
    <t>100+%</t>
  </si>
  <si>
    <t xml:space="preserve">  2. บ้านหนังสืออัจฉริยะหมู่ 4 บ้านโต๊ะเมือง</t>
  </si>
  <si>
    <t xml:space="preserve">  3. บ้านหนังสืออัจฉริยะหมู่ 6 บ้านตะเคียนหลบฟ้า</t>
  </si>
  <si>
    <t xml:space="preserve">  1. บ้านหนังสืออัจฉริยะหมู่ที่ 5 บ้านป่าเตียว</t>
  </si>
  <si>
    <t xml:space="preserve">  1. บ้านหนังสืออัจฉริยะหมู่ที่ 1 บ้านท่าเรือ</t>
  </si>
  <si>
    <t xml:space="preserve">  2. บ้านหนังสืออัจฉริยะหมู่ที่ 2 บ้านห้วยลึก</t>
  </si>
  <si>
    <t xml:space="preserve">  3. บ้านหนังสืออัจฉริยะหมู่ที่ 4 บ้านปาแต</t>
  </si>
  <si>
    <t xml:space="preserve">  1. หมู่ 1 บ้านท่าเรือ</t>
  </si>
  <si>
    <t xml:space="preserve">  2. หมู่ 2 บ้านควนมอง</t>
  </si>
  <si>
    <t xml:space="preserve">  3. หมู่ 4 บ้านเกาะคียม</t>
  </si>
  <si>
    <r>
      <t xml:space="preserve">  </t>
    </r>
    <r>
      <rPr>
        <sz val="16"/>
        <rFont val="TH SarabunPSK"/>
        <family val="2"/>
      </rPr>
      <t>1. หมู่ที่ 2 บ้านโคกยาง</t>
    </r>
  </si>
  <si>
    <r>
      <t xml:space="preserve">  </t>
    </r>
    <r>
      <rPr>
        <sz val="16"/>
        <rFont val="TH SarabunPSK"/>
        <family val="2"/>
      </rPr>
      <t>2. หมู่ที่ 3 บ้านยะหรม</t>
    </r>
  </si>
  <si>
    <r>
      <t xml:space="preserve">  </t>
    </r>
    <r>
      <rPr>
        <sz val="16"/>
        <rFont val="TH SarabunPSK"/>
        <family val="2"/>
      </rPr>
      <t>3. หมู่ที่ 5 บ้านหนองเหม้า</t>
    </r>
  </si>
  <si>
    <r>
      <t xml:space="preserve">  </t>
    </r>
    <r>
      <rPr>
        <sz val="16"/>
        <rFont val="TH SarabunPSK"/>
        <family val="2"/>
      </rPr>
      <t>4. หมู่ที่ 6 บ้านสว่างคีรี</t>
    </r>
  </si>
  <si>
    <t xml:space="preserve">  1. บ้านหนังสืออัจฉริยะหมู่ 1 บ้านทอญหาร</t>
  </si>
  <si>
    <t xml:space="preserve">  2. บ้านหนังสืออัจฉริยะหมู่ 4 บ้านนาเหนือ</t>
  </si>
  <si>
    <t xml:space="preserve">  3. บ้านหนังสืออัจฉริยะหมู่ 6 บ้านคลองเคียน</t>
  </si>
  <si>
    <t xml:space="preserve">  1. หมู่ 1 บ้านโคกทราย</t>
  </si>
  <si>
    <t xml:space="preserve">  2. หมู่ 4 บ้านทุ่งอิฐ</t>
  </si>
  <si>
    <r>
      <t xml:space="preserve">  </t>
    </r>
    <r>
      <rPr>
        <sz val="16"/>
        <rFont val="TH SarabunPSK"/>
        <family val="2"/>
      </rPr>
      <t>1. ส่งเสริมการอ่าน แจกแว่นสายตาผู้สูงอายุ หมู่ 2</t>
    </r>
  </si>
  <si>
    <t xml:space="preserve">  2. ส่งเสริมการอ่าน แจกแว่นสายตาผู้สูงอายุ หมู่ 6</t>
  </si>
  <si>
    <t xml:space="preserve">  3. ส่งเสริมการอ่าน แจกแว่นสายตาผู้สูงอายุ หมู่ 4</t>
  </si>
  <si>
    <t xml:space="preserve">  4. ส่งเสริมการอ่าน แจกแว่นสายตาผู้สูงอายุ หมู่ 7</t>
  </si>
  <si>
    <t xml:space="preserve">  1. บ้านหนังสืออัจฉริยะหมู่ที่ 1 บ้านบางสัก</t>
  </si>
  <si>
    <t xml:space="preserve">  2. บ้านหนังสืออัจฉริยะหมู่ที่ 2 บ้านบางสัก</t>
  </si>
  <si>
    <t xml:space="preserve">  3. บ้านหนังสืออัจฉริยะหมู่ที่ 3 บ้านควนตุ้งกู</t>
  </si>
  <si>
    <t xml:space="preserve">  1. บ้านหนังสืออัจฉริยะบ้านนาเกลือเหนือ</t>
  </si>
  <si>
    <t xml:space="preserve">  2. บ้านหนังสืออัจฉริยะบ้านนาเกลือใต้</t>
  </si>
  <si>
    <t xml:space="preserve">  3. บ้านหนังสืออัจฉริยะบ้านท่าโต๊ะเมฆ</t>
  </si>
  <si>
    <t xml:space="preserve">  1. บ้านหนังสืออัจฉริยะบ้านหาดยาว</t>
  </si>
  <si>
    <t xml:space="preserve">  3. บ้านหนังสืออัจฉริยะบ้านโคกสะท้อน</t>
  </si>
  <si>
    <t xml:space="preserve">  4. บ้านหนังสืออัจฉริยะบ้านทรายแก้ว</t>
  </si>
  <si>
    <t xml:space="preserve">  1. บ้านหนังสืออัจฉริยะหมู่ที่ 1 บ้านหนองเสม็ด</t>
  </si>
  <si>
    <t xml:space="preserve">  2. บ้านหนังสืออัจฉริยะหมู่ที่ 3 บ้านคลองชีล้อม</t>
  </si>
  <si>
    <t xml:space="preserve">  3. บ้านหนังสืออัจฉริยะหมู่ที่ 4 บ้านป่ากอ</t>
  </si>
  <si>
    <t xml:space="preserve">  1. บ้านหนังสืออัจฉริยะบ้านแหลมม่วง</t>
  </si>
  <si>
    <t xml:space="preserve">  2. บ้านหนังสืออัจฉริยะบ้านควนทองสีห์</t>
  </si>
  <si>
    <t xml:space="preserve">  1. บ้านหนังสืออัจฉริยะบ้านมดตะนอย</t>
  </si>
  <si>
    <t xml:space="preserve">  2. ค่าจ้างซื้อหนังสือเรียน</t>
  </si>
  <si>
    <t xml:space="preserve">  3. พัฒนาคุณภาพผู้เรียน</t>
  </si>
  <si>
    <t xml:space="preserve">     1. โครงการอบรมคุณธรรม จริยธรรม </t>
  </si>
  <si>
    <t xml:space="preserve">     2. โครงการศีลธรรมเพื่อพัฒนาคุณภาพชีวิต</t>
  </si>
  <si>
    <t xml:space="preserve">     3. โครงการอนุรักษ์ทรัพยากรธรรมชาติและสิ่งแวดล้อม</t>
  </si>
  <si>
    <t xml:space="preserve"> 4. จำนวนนักศึกษาหลักสูตรการศึกษาขั้นพื้นฐาน</t>
  </si>
  <si>
    <t xml:space="preserve">  5. จำนวนนักศึกษาที่จบหลักสูตรการศึกษาขั้นพื้นฐาน</t>
  </si>
  <si>
    <t>ประจำเดือน พฤษภาคม  พ.ศ. 2558</t>
  </si>
  <si>
    <t>ศูนย์ กศน.อำเภอสิเกา</t>
  </si>
  <si>
    <t xml:space="preserve">รวมผลการดำเนินงาน     ที่ผ่านมา    </t>
  </si>
  <si>
    <t xml:space="preserve">                      </t>
  </si>
  <si>
    <t>ศูนย์ฝึกอาชีพชุมชน(กศน.ตำบล)</t>
  </si>
  <si>
    <t>ศูนย์ฝึกอาชีพชุมชน(ตามความหนาแน่นของประชากร)</t>
  </si>
  <si>
    <t xml:space="preserve">   </t>
  </si>
  <si>
    <t>ศูนย์ฝึกอาชีพชุมชน(Mini OTOP MBA)</t>
  </si>
  <si>
    <t xml:space="preserve">    3.1 ..มุมอาเซียน.......................................................</t>
  </si>
  <si>
    <t xml:space="preserve">    3.2 ...บริการอินเตอร์เน็ต..................................................</t>
  </si>
  <si>
    <r>
      <t xml:space="preserve">  </t>
    </r>
    <r>
      <rPr>
        <sz val="16"/>
        <rFont val="TH SarabunPSK"/>
        <family val="2"/>
      </rPr>
      <t xml:space="preserve"> 3.3...นิทรรศการส่งเสริมการอ่าน...........................</t>
    </r>
  </si>
  <si>
    <t xml:space="preserve">   3.4 ...กิจกรรมส่งเสริมการอ่านส่งเสริมอาชีพ.................</t>
  </si>
  <si>
    <t xml:space="preserve">   3.5 กิจกรรมหนังสือสู่ชุมชน....</t>
  </si>
  <si>
    <t>กศน.ตำบลนาเมืองเพชร</t>
  </si>
  <si>
    <t xml:space="preserve">   4.1 มุมกศน.ตำบลนาเมืองเพชร</t>
  </si>
  <si>
    <t xml:space="preserve">   4.2 มุมโรงพยาบาลส่งเสริมสุขภาพประจำตำบล</t>
  </si>
  <si>
    <t xml:space="preserve">   4.3  มุมอาเซียน</t>
  </si>
  <si>
    <t>กศน.ตำบลไม้ฝาด</t>
  </si>
  <si>
    <t xml:space="preserve">   4.1 มุมกศน.ตำบล</t>
  </si>
  <si>
    <t>กศน.ตำบลเขาไม้แก้ว</t>
  </si>
  <si>
    <t>มุมการอ่านเคลื่อนที่ ม.3 ม.1</t>
  </si>
  <si>
    <t>กศน.ตำบลบ่อหิน</t>
  </si>
  <si>
    <t>กศน.ตำบลกะลาเส</t>
  </si>
  <si>
    <t>ม. 1 บ้านห้วยไทร</t>
  </si>
  <si>
    <t>ม.2  บ้านเขาแก้ว</t>
  </si>
  <si>
    <t>ม.4  บ้านนาเมืองเพชร</t>
  </si>
  <si>
    <t>ม. 6  กลิ้งกลอง</t>
  </si>
  <si>
    <t>ม. 3 บ้านไม้ฝาด</t>
  </si>
  <si>
    <t>ม.4  บ้านปากเมง</t>
  </si>
  <si>
    <t>ม.5 บ้านฉางหลาง</t>
  </si>
  <si>
    <t>ม. 7 บ้านนาหละ</t>
  </si>
  <si>
    <t>ม. 4  บางค้างคาว</t>
  </si>
  <si>
    <t>ม.5  แหลมมะขาม</t>
  </si>
  <si>
    <t>ม.6  ทุ่งขี้เหล็ก</t>
  </si>
  <si>
    <t>ม. 7  ทุ่งทอง</t>
  </si>
  <si>
    <t>ม.3 บ้านดุหุน</t>
  </si>
  <si>
    <t>ม.6 บ้านหัวหิน</t>
  </si>
  <si>
    <t>ม.8 บ้านโต๊ะบัน</t>
  </si>
  <si>
    <t>ม.9 บ้านปากคลอง</t>
  </si>
  <si>
    <t>ม.3  บ้านโตนใต้</t>
  </si>
  <si>
    <t>ม.5 บเนหนองใหญ่</t>
  </si>
  <si>
    <t>ม.7  บ้านโตนตก</t>
  </si>
  <si>
    <t>ม.8  บ้านควนกุน</t>
  </si>
  <si>
    <t>-  ร่วมรับเสด็จทูลกระหม่อมหญิงอุบลรัตน์</t>
  </si>
  <si>
    <t>- ร่วมกิจกรรมการประกวดค่านิยม 12 ประการ</t>
  </si>
  <si>
    <t>ประจำเดือน พฤษภาคม   พ.ศ. 2558</t>
  </si>
  <si>
    <t>กศน.อำเภอหาดสำราญ</t>
  </si>
  <si>
    <t xml:space="preserve">    1.1 ตำบลบ้าหวี</t>
  </si>
  <si>
    <t xml:space="preserve">    1.2 ตำบลตะเสะ</t>
  </si>
  <si>
    <t xml:space="preserve">    1.3 ตำบลหาดสำราญ</t>
  </si>
  <si>
    <t>2. ศูนย์ฝึกอาชีพชุมชน</t>
  </si>
  <si>
    <t>จัดสรรตามความหนาแน่นของประชากร</t>
  </si>
  <si>
    <t>จัดสรรตามจำนวน กศน.ตำบล</t>
  </si>
  <si>
    <t xml:space="preserve">    2.1 เลี้ยงไก่พื้นเมือง 8-12 ม.ค. 58  (ม.4 บ้าหวี)</t>
  </si>
  <si>
    <t xml:space="preserve">    2.2 เครื่องแกง 9-13 ม.ค. 58 (ม.2 บ้าหวี)</t>
  </si>
  <si>
    <t xml:space="preserve">    2.3 เลี้ยงไก่พื้นเมือง 9-15 ม.ค. 58 (ม.3 ตะเสะ)</t>
  </si>
  <si>
    <t xml:space="preserve">    2.4 ตัดผมชาย 10 ม.ค.-8 ก.พ. 58 (ม.2 ตะเสะ)</t>
  </si>
  <si>
    <t xml:space="preserve">    2.5 เพาะเห็ดนางฟ้า 15-25 ม.ค. 58 (ม.3 หาดสำราญ)</t>
  </si>
  <si>
    <t xml:space="preserve">    2.6 พันลวดรับถ้วยน้ำนาง(ม.3 หาดสำราญ)</t>
  </si>
  <si>
    <t xml:space="preserve">    2.7 ศึกษาดูงานอาชีพสตูล (21 มี.ค. 58)</t>
  </si>
  <si>
    <t xml:space="preserve">    2.8 สัมมนา ศึกษาดูงานอาชีพกระบี่ (20-22 เม.ย. 58)</t>
  </si>
  <si>
    <t xml:space="preserve">    2.9 การจัดสวนหย่อม มิ.ย. 58 (ม.4 บ้าหวี)</t>
  </si>
  <si>
    <t xml:space="preserve">    2.10 ช่างปูกระเบื้อง มิ.ย 58 (ม.4 บ้าหวี)</t>
  </si>
  <si>
    <t xml:space="preserve">    2.11 ธุรกิจขนมไทย มิ.ย. 58 (ตะเสะ)</t>
  </si>
  <si>
    <t xml:space="preserve">    2.12 อาหารไทยเพื่อการค้า มิ.ย 58 (ตะเสะ) </t>
  </si>
  <si>
    <t xml:space="preserve">    2.13 ภาษาอังกฤษเพื่อการท่องเที่ยว มิ.ย. 58 (หาดสำราญ)</t>
  </si>
  <si>
    <t xml:space="preserve">    2.14 การจัดดอกไม้สด มิ.ย. 58 (หาดสำราญ)</t>
  </si>
  <si>
    <t xml:space="preserve">     3.1 เยาวชนรุ่นใหม่ ร่วมใจต้านภัยยาเสพติด                     (14 ม.ค. 58)</t>
  </si>
  <si>
    <t xml:space="preserve">     3.2 สร้างเสริมสุขภาพ รู้เท่าทันไข้เลือดออก                      (15 ม.ค. 58)</t>
  </si>
  <si>
    <t xml:space="preserve">    3.3 โภชนาการสำหรับผู้สูงอายุ มิ.ย. 58 (หาดสำราญ)</t>
  </si>
  <si>
    <t xml:space="preserve">    3.4 ทดสอบสมรรถนะผู้สูงอายุ มิ.ย. 58 (บ้าหวี)</t>
  </si>
  <si>
    <t xml:space="preserve">    3.5  ทดสอบสมรรถนะผู้สูงอายุ มิ.ย. 58 (ตะเสะ)</t>
  </si>
  <si>
    <t xml:space="preserve">    3.6 เสริมสร้างสุขลักษณะผู้พิการ มิ.ย. 58</t>
  </si>
  <si>
    <t xml:space="preserve">    4.1 การทำน้ำสมุนไพร ตะเสะ (15 ธ.ค. 57)</t>
  </si>
  <si>
    <t xml:space="preserve">    4.2 การทำขนมจีบ หาดสำราญ (15 ธ.ค. 57)</t>
  </si>
  <si>
    <t xml:space="preserve">    4.3 การทำโรตีกรอบ บ้าหวี (15 ธ.ค. 57)</t>
  </si>
  <si>
    <t xml:space="preserve">    4.4 ส่งเสริมคุณธรรม จริยธรรม นำสามัคคี กศน.น้องพี่ ร่วมสืบสานเทศกาลปีใหม่ 2558 (25 ธ.ค. 57)</t>
  </si>
  <si>
    <t xml:space="preserve">    4.5 แข่งขันกีฬาปรองดองสมานฉันท์                           สานสัมพันธ์สามตำบล</t>
  </si>
  <si>
    <t xml:space="preserve">    5.1 ปลูกผักสวนครัวรั้วกินได้ (ต.บ้าหวี)</t>
  </si>
  <si>
    <t xml:space="preserve">    5.2 ปลูกผักสวนครัวรั้วกินได้ (ต.ตะเสะ)</t>
  </si>
  <si>
    <t xml:space="preserve">    5.3 การทำบัญชีครัวเรือน (บ้าหวี ,ตะเสะ ,หาดสำราญ)</t>
  </si>
  <si>
    <t xml:space="preserve">    5.4 การทำปุ๋ยหมักชีวภาพ (ต.หาดสำราญ)</t>
  </si>
  <si>
    <t xml:space="preserve">    5.5 การทำวุ้นในลูกมะพร้าว (ต.บ้าหวี)</t>
  </si>
  <si>
    <t xml:space="preserve">    5.6 การทำขนมไข่ (ต.บ้าหวี)</t>
  </si>
  <si>
    <t xml:space="preserve">    5.7 การทำขนมโดนัทจิ๋ว (ต.บ้าหวี)</t>
  </si>
  <si>
    <t xml:space="preserve">    6.1 โภชนาการและทดสอบสมรรถภาพผู้สูงอายุ </t>
  </si>
  <si>
    <t xml:space="preserve">    7.1 กลุ่มน้ำหนาว (วริยา)</t>
  </si>
  <si>
    <t xml:space="preserve">    7.2 กลุ่มน้ำใจ (วิทยา)</t>
  </si>
  <si>
    <t xml:space="preserve">    7.3 กลุ่มน้ำเย็น (เชาวลา)</t>
  </si>
  <si>
    <t xml:space="preserve">    7.4 กลุ่มน้ำใส (ทิพวรรณ)</t>
  </si>
  <si>
    <t xml:space="preserve">    7.5 กลุ่มน้ำหนึ่ง (กันต์ภัสสร)</t>
  </si>
  <si>
    <t xml:space="preserve">    3.1 มุมหนังสือน่าอ่านสถานที่ราชการ (โรงพัก)</t>
  </si>
  <si>
    <t xml:space="preserve">    3.2 มุมหนังสือน่าอ่านสถานที่ราชการ (โรงพยาบาล)</t>
  </si>
  <si>
    <t xml:space="preserve">    3.3 นิทรรศการวันสำคัญ</t>
  </si>
  <si>
    <t xml:space="preserve">    3.4 กิจกรรมวันเด็ก</t>
  </si>
  <si>
    <t xml:space="preserve">    3.5 อาสาสมัครรักการอ่าน</t>
  </si>
  <si>
    <t xml:space="preserve">    3.6 ความรู้สู่ชุมชน (รถโมบายเคลื่อนที่)</t>
  </si>
  <si>
    <t xml:space="preserve">    3.7 วันรักการอ่าน 2 เม.ย.</t>
  </si>
  <si>
    <t xml:space="preserve">    3.8 ส่งเสริมการอ่านศูนย์พัฒนาเด็กเล็ก</t>
  </si>
  <si>
    <t xml:space="preserve">    3.9 ส่งเสริมการอ่านนักศึกษาพิการ</t>
  </si>
  <si>
    <t>กศน.ตำบลบ้าหวี</t>
  </si>
  <si>
    <t xml:space="preserve">   1. มุมหนังสือ กศน.ตำบล</t>
  </si>
  <si>
    <t xml:space="preserve">   2. มุมน่ารู้ต่างๆใน กศน.ตำบล</t>
  </si>
  <si>
    <t xml:space="preserve">   3. กิจกรรมวันเด็ก</t>
  </si>
  <si>
    <t>กศน.ตำบลตะเสะ</t>
  </si>
  <si>
    <t>กศน.ตำบลหาดสำราญ</t>
  </si>
  <si>
    <t xml:space="preserve">  5.1 บ้านนาเกาะสัก ม.4 บ้าหวี</t>
  </si>
  <si>
    <t xml:space="preserve">  5.2 บ้านในทอน ม.3 บ้าหวี</t>
  </si>
  <si>
    <t xml:space="preserve">  5.3 บ้านนาชุมเห็ด ม.2 ตะเสะ</t>
  </si>
  <si>
    <t xml:space="preserve">  5.4 บ้านโคกออก ม.6 ตะเสะ</t>
  </si>
  <si>
    <t xml:space="preserve">  5.5 บ้านนาควน ม.5 ตะเสะ</t>
  </si>
  <si>
    <t xml:space="preserve">  5.6 บ้านตะเสะ ม.4 ตะเสะ</t>
  </si>
  <si>
    <t xml:space="preserve">  5.7 บ้านปันรักษ์ ม.5 หาดสำราญ</t>
  </si>
  <si>
    <t xml:space="preserve">  5.8 บ้านท่าโตบ ม.7 หาดสำราญ</t>
  </si>
  <si>
    <t xml:space="preserve">  5.9 บ้านโคกออก ม.8 หาดสำราญ</t>
  </si>
  <si>
    <t xml:space="preserve">  5.10 บ้านควนล้อน ม.9 หาดสำราญ</t>
  </si>
  <si>
    <t xml:space="preserve">  5.11 บ้านปากปรนท่าตก ม.11 หาดสำราญ</t>
  </si>
  <si>
    <t xml:space="preserve">    2.1 ภาคเรียนที่ 2/2557</t>
  </si>
  <si>
    <t xml:space="preserve">    2.2 ภาคเรียนที่ 1/2558</t>
  </si>
  <si>
    <t xml:space="preserve">      3.1 ปฐมนิเทศ (4-20 พ.ย. 57)</t>
  </si>
  <si>
    <t xml:space="preserve">      3.2 ปรับพื้นฐานวิชาการ (24 พ.ย. 57)</t>
  </si>
  <si>
    <t xml:space="preserve">      3.3 ค่ายค่านิยม 12 ประการ (11 - 12 ธ.ค. 57)</t>
  </si>
  <si>
    <t xml:space="preserve">      3.4 เสริมสร้างค่านิยมด้วยการปลูกป่า                        (23 - 24 ธ.ค. 57)</t>
  </si>
  <si>
    <t xml:space="preserve">      3.5 ค่ายอาสายุวกาชาด (19 - 21 ธ.ค. 57)</t>
  </si>
  <si>
    <t xml:space="preserve">      3.6 เติมเต็มความรู้ก่อนสอบ </t>
  </si>
  <si>
    <t xml:space="preserve">      3.7 ศูนย์เพื่อนใจ TO BE NUMBER ONE</t>
  </si>
  <si>
    <t xml:space="preserve">      3.7 ค่ายลูกเสือ (10 - 12 มี.ค. 58)</t>
  </si>
  <si>
    <t xml:space="preserve">       ภาคเรียนที่ 2/2557</t>
  </si>
  <si>
    <t xml:space="preserve">       ภาคเรียนที่ 1/2558</t>
  </si>
  <si>
    <t>ประจำเดือน  พฤษภาคม   พ.ศ.2558</t>
  </si>
  <si>
    <t>ศูนย์การศึกษานอกระบบและการศึกษาตามอัธยาศัยอำเภอเมืองตรัง</t>
  </si>
  <si>
    <t>ผลการดำเนินการเดือนนี้      (พ.ค.58)</t>
  </si>
  <si>
    <t xml:space="preserve">รวมผลการดำเนินงาน        </t>
  </si>
  <si>
    <t>จ่าย</t>
  </si>
  <si>
    <t>แผนงาน : สร้างและกระจายโอกาสทางการศึกษาให้ทั่วถึงและเป็นธรรม</t>
  </si>
  <si>
    <t>ผลผลิตที่ 4 ผู้รับบริการการศึกษานอกระบบ</t>
  </si>
  <si>
    <t xml:space="preserve">    2.1 โครงการศูนย์ฝึกอาชีพเพื่อการมีงานทำ กศน.อำเภอเมืองตรัง</t>
  </si>
  <si>
    <t xml:space="preserve">    2.2 โครงการศูนย์อาเซี่ยนศึกษา กศน.อำเภอเมืองตรัง</t>
  </si>
  <si>
    <t>.</t>
  </si>
  <si>
    <t xml:space="preserve">   3.1 โครงการจัดการศึกษาเพื่อพัฒนาทักษะชีวิต</t>
  </si>
  <si>
    <t xml:space="preserve">    4.1 โครงการจัดการศึกษาเพื่อพัฒนาสังคมและชุมชน</t>
  </si>
  <si>
    <t xml:space="preserve">     5.1 โครงการจัดกระบวนการเรียนรู้ตามหลักปรัชญาเศรษฐกิจพอเพียง</t>
  </si>
  <si>
    <t>ผลผลิตที่ 5  ผู้รับบริการการศึกษาตามอัธยาศัย</t>
  </si>
  <si>
    <t>ประกอบด้วย ห้องสมุด +กศน.ตำบล+บ้านหนังสือ</t>
  </si>
  <si>
    <t>กิจกรรมห้องสมุดประชาชนอำเภอเมืองตรัง</t>
  </si>
  <si>
    <t xml:space="preserve">    3.1 กิจกรรมเทิดพระเกียรติ</t>
  </si>
  <si>
    <t xml:space="preserve">    3.2 กิจกรรมวันเด็กแห่งชาติ</t>
  </si>
  <si>
    <t xml:space="preserve">    3.3 กิจกรรมส่งเสริมการเรียนรู้ในวันสำคัญ(วันรักการอ่าน วันภาษาไทย)</t>
  </si>
  <si>
    <t xml:space="preserve">    3.4 กิจกรรมอาสาสมัครส่งเสริมการอ่าน</t>
  </si>
  <si>
    <t xml:space="preserve">    3.5 กิจกรรมแนะนำหนังสือใหม่</t>
  </si>
  <si>
    <t xml:space="preserve">    3.6 กิจกรรมจัดนิทรรศการา มุมส่งเสริมการเรียนรู้,มุนเฉลิมพระเกียรติ, มุม สคบ.</t>
  </si>
  <si>
    <t xml:space="preserve">    3.7 กิจกรรมส่งเสริมการใช้อินเตอร์เน็ต</t>
  </si>
  <si>
    <t xml:space="preserve">    3.8 กิจกรรมหมุนเวียนสื่อสู่ กศน.ตำบล</t>
  </si>
  <si>
    <t xml:space="preserve">    3.9 กิจกรรมชุมชนต้นแบบแห่งการอ่าน</t>
  </si>
  <si>
    <t>นศ</t>
  </si>
  <si>
    <t xml:space="preserve">    3.10 กิจกรรมห้องสมุดเคลื่อนที่</t>
  </si>
  <si>
    <t xml:space="preserve">    3.11 กิจกรรมส่งเสริมการอ่านในสถานที่ราชการ,สถานประกอบการ</t>
  </si>
  <si>
    <t xml:space="preserve">    3.12 กิจกรรมส่งเสริมการอ่านศูนย์เด็กเล็ก</t>
  </si>
  <si>
    <t xml:space="preserve">   4.1 โครงการพัฒนา กศน.ตำบล ให้เป็นศูนย์กลางการเรียนรู้ตลอดชีวิตของชุมชน</t>
  </si>
  <si>
    <t xml:space="preserve">     4.1 กิจกรรมส่งเสริมการเรียนรู้อยู่อย่างพอเพียง</t>
  </si>
  <si>
    <t xml:space="preserve">     4.2 กิจกรรมส่งเสริมการเรียนรู้ด้านประชาธิปไตย</t>
  </si>
  <si>
    <t xml:space="preserve">     4.3 กิจกรรมส่งเสริมด้านคุณธรรม จริยธรรม การเรียนรู้ศิลปวัฒนธรรมไทยและประเพณีท้องถิ่น</t>
  </si>
  <si>
    <t xml:space="preserve">     4.4 กิจกรรมพัฒนาและอนุรักษ์ทรัพยากรธรรมชาติและสิ่งแวดล้อม</t>
  </si>
  <si>
    <t xml:space="preserve">     4.5 กิจกรรมส่งเสริมสนับสนุนการแสดงความจงรักภักดีต่อชาติ ศาสนา พระมหากษัตริย์</t>
  </si>
  <si>
    <t xml:space="preserve">     4.6 กิจกรรมส่งเสริมการป้องกันภัยจากสิ่งเสพติด</t>
  </si>
  <si>
    <t xml:space="preserve">     4.7 กิจกรรมเสริมสร้างความรู้เกี่ยวกับประชาคมอาเซียน</t>
  </si>
  <si>
    <t xml:space="preserve">     4.8 กิจกรรมส่งเสริมการอ่าน</t>
  </si>
  <si>
    <t xml:space="preserve">     4.9 กิจกรรมส่งเสริมการเรียนรู้ในวันสำคัญ</t>
  </si>
  <si>
    <t>แผนงาน : สนับสนุนจัดการศึกษาตั้งแต่ปฐมวัยจนจบการศึกษาขั้นพื้นฐาน โครงการสนับสนุนค่าใช้จ่ายในการจัดการศึกษาตั้งแต่ระดับอนุบาลจนจบการศึกษาขั้นพื้นฐาน</t>
  </si>
  <si>
    <t>หักเงินเหลือ ภาค2ปี58 28,959 บาท</t>
  </si>
  <si>
    <t xml:space="preserve">     3.1 กิจกรรมสอนเสริม</t>
  </si>
  <si>
    <t xml:space="preserve">     3.2 กิจกรรมพัฒนาด้าน ICT</t>
  </si>
  <si>
    <t xml:space="preserve">     3.3 กิจกรรมส่งเสริมสุขภาพกายและสุขภาพจิต</t>
  </si>
  <si>
    <t xml:space="preserve">     3.4 การทำบัญชีครัวเรือน</t>
  </si>
  <si>
    <t xml:space="preserve">     3.5 "ค่ายค่านิยม 12 ประการ</t>
  </si>
  <si>
    <t xml:space="preserve">     3.6 "ค่ายอาสาสมัครยุวกาชาดนอกโรงเรียน"</t>
  </si>
  <si>
    <t xml:space="preserve">     3.7 "ค่ายลูกเสือ"</t>
  </si>
  <si>
    <t xml:space="preserve">     3.8 การแข่งขันกีฬา กศน.สัมพันธ์</t>
  </si>
  <si>
    <t xml:space="preserve">     3.7 ศึกษาแหล่งเรียนรู้เชิงศิลปะวัฒนธรรมสู่ประชาคมอาเซียน</t>
  </si>
  <si>
    <t>ปกติ</t>
  </si>
  <si>
    <t>พิการ</t>
  </si>
  <si>
    <t xml:space="preserve">     3.8 จิตสำนึกรักษ์บ้านเกิดอนุรักษ์ทรัพยากรธรรมชาติและสิ่งแวดล้อม</t>
  </si>
  <si>
    <t>2ปี57</t>
  </si>
  <si>
    <t>ทางไกล</t>
  </si>
  <si>
    <t xml:space="preserve">           ปกติ</t>
  </si>
  <si>
    <t>1ปี58</t>
  </si>
  <si>
    <t xml:space="preserve">           พิการ</t>
  </si>
  <si>
    <t>exam</t>
  </si>
  <si>
    <t>รวมปกติ+พิการ</t>
  </si>
  <si>
    <t>รวมจ่าย</t>
  </si>
  <si>
    <t xml:space="preserve"> 7. จำนวนนักศึกษาการศึกษานอกระบบ ระดับสูงสุดของการศึกษาขั้นพื้นฐาน</t>
  </si>
  <si>
    <t xml:space="preserve">          - ระดับสูงสุดของการศึกษาขั้นพื้นฐาน</t>
  </si>
  <si>
    <t xml:space="preserve"> 7. จำนวนนักศึกษาการศึกษานอกระบบ  โดยการเทียบระดับการศึกษา (ปกติ)</t>
  </si>
  <si>
    <t xml:space="preserve">          - เทียบระดับการศึกษา</t>
  </si>
  <si>
    <t>ประจำเดือน พฤษภาคม พ.ศ.2558</t>
  </si>
  <si>
    <t>ศูนย์ กศน.อำเภอห้วยยอด</t>
  </si>
  <si>
    <t>2.1 การทำลวดพันถ้วยรับน้ำยางพารา(ต.นาวง)</t>
  </si>
  <si>
    <t xml:space="preserve">    2.2 .............................................................................</t>
  </si>
  <si>
    <t>ศูนย์ฝึกอาชีพชุมชน(โครงการ "หนึ่งคน  หนึ่งอาชีพ")</t>
  </si>
  <si>
    <t>2.1 การทำหูหมูผักบุ้ง(ต.ปากแจ่ม)</t>
  </si>
  <si>
    <t>2.2 การทำขนมเค้ก(ต.เขาขาว)</t>
  </si>
  <si>
    <t>2.3 การทำห่อหมกสมุนไพร(ต.นาวง)</t>
  </si>
  <si>
    <t>2.4 การทำขนมเค้ก(ต.ทุ่งต่อ)</t>
  </si>
  <si>
    <t>2.5 การทำขนมปากหม้อ(ต.เขากอบ)</t>
  </si>
  <si>
    <t>2.6 การทำขนมเค้ก(ต.ท่างิ้ว)</t>
  </si>
  <si>
    <t>2.7 การทำขนมลูกชุบ(ต.ลำภูรา)</t>
  </si>
  <si>
    <t>2.8 การทำผ้ามัดย้อม(ต.ปากคม)</t>
  </si>
  <si>
    <t>2.9 การทำเทียนเจลตะไคร้หอมไล่ยุง(ต.ในเตา)</t>
  </si>
  <si>
    <t>2.10 การแปรรูปแกงไตปลาเห็ด(ต.หนองช้างแล่น)</t>
  </si>
  <si>
    <t>2.11 การทำสมุนไพรตะไคร้หอมไล่ยุง(ต.ห้วยยอด)</t>
  </si>
  <si>
    <t>2.12 การทำข้อง(ต.วังคีรี)</t>
  </si>
  <si>
    <t>2.13 การทำไขเค็มสมุนไพร(ต.บางกุ้ง)</t>
  </si>
  <si>
    <t>2.14 การทำขนมข้าวเหนียวแก้ว(ต.เขาปูน)</t>
  </si>
  <si>
    <t xml:space="preserve">2.15 การผูกผ้า(ต.ห้วยนาง) </t>
  </si>
  <si>
    <t xml:space="preserve">2.16 การทำข้าวเกรียบปากหม้อ(ต.บางดี) </t>
  </si>
  <si>
    <t xml:space="preserve">    2.1 .............................................................................</t>
  </si>
  <si>
    <t>3.1 การรณรงค์ป้องกันโรคคอตีบ-บาดทะยัก(ต.เขาขาว)</t>
  </si>
  <si>
    <t>3.2 อบรมเครือข่ายคุ้มครองผู้บริโภคในชุมชน(ต.หนองช้างแล่น)</t>
  </si>
  <si>
    <t>3.3 การอบรมป้องกันและแก้ไขปัญหายาเสพติด(ต.นาวง)</t>
  </si>
  <si>
    <t>3.4 อบรมวิธีการป้องกันไข้เลือดออก(ต.ปากแจ่ม)</t>
  </si>
  <si>
    <t>3.5 อบรมการป้องกันโรคบาดทะยัก(ต.ในเตา)</t>
  </si>
  <si>
    <t>4 .1 อบรมปรับเปลี่ยนพฤติกรรมและสุขภาพ(ต.หนองช้างแล่น)</t>
  </si>
  <si>
    <t>4.2 ส่งเสริมการออกกำลังกายผู้สูงอายุ(ต.ลำภูรา)</t>
  </si>
  <si>
    <t>4.3 อบรมการทำผลิตภัณฑ์จากสมุนไพรสำหรับผู้สูงอายุ(กศน.ในเตา)</t>
  </si>
  <si>
    <t>5.1 อบรมหลักสูตรปรัชญาเศรษฐกิจพอเพียง</t>
  </si>
  <si>
    <t>5.2.................................................................................</t>
  </si>
  <si>
    <t>3.1 หน่วยบำบัดทุกข์ บำรุงสุข 23 เม.ย. 57 ร.ร.วัดคีรีวิหาร</t>
  </si>
  <si>
    <t>3.2 ..............................................................................</t>
  </si>
  <si>
    <t xml:space="preserve">   4.1 ..............................................................................</t>
  </si>
  <si>
    <t xml:space="preserve">   4.2 ..............................................................................</t>
  </si>
  <si>
    <t xml:space="preserve">  5.1 ……………………………………………………………….,….</t>
  </si>
  <si>
    <t xml:space="preserve">  5.2 …………………………………………………………………….</t>
  </si>
  <si>
    <t xml:space="preserve">      3.1 เยาวชนคนรุ่นใหม่ใฝ่หาค่านิยม</t>
  </si>
  <si>
    <t xml:space="preserve">      3.2...............................................................................</t>
  </si>
  <si>
    <t xml:space="preserve">      3.3 ............................................................................</t>
  </si>
  <si>
    <t>ประจำเดือน พฤษภาคม   พ.ศ.2558</t>
  </si>
  <si>
    <t>ศูนย์ กศน.อำเภอ วังวิเศษ</t>
  </si>
  <si>
    <t xml:space="preserve"> 1. ส่งเสริมการรู้หนังสือ 13,750</t>
  </si>
  <si>
    <t>ศูนย์ฝึกอาชีพชุมชน145800</t>
  </si>
  <si>
    <t xml:space="preserve">    2.1.เบิกค่าวัสดุช่างปูกระเบื้อง                    (กศน.ตำบลท่าสะบ้า)</t>
  </si>
  <si>
    <t>2.2 หลักสูตรการทำเหล็กตัด(กศน.อ่าวตง)</t>
  </si>
  <si>
    <t>2.3 ออกร้านเฉาก้วยเห็ดหูหนู รร.วังวิเศษ(กศน.กศน.เขาวิเศษ)</t>
  </si>
  <si>
    <t>2.4 โครงการลวดพันถ้วยรับน้ำยางพารา(กศน.วังมะปราง)</t>
  </si>
  <si>
    <t>2.5 การก่ออิฐบล็อก(ศรช.;วังมะปรางเหนือ)</t>
  </si>
  <si>
    <t>2.6 การก่ออิฐบล็อก (กศน.วังมะปรางเหนือ)</t>
  </si>
  <si>
    <t xml:space="preserve"> 3. พัฒนาทักษะชีวิต 10,120 บาท</t>
  </si>
  <si>
    <t xml:space="preserve">   3.1 โครงการข้าวยำสมุนไพร (วังมะปรางเหนือ)</t>
  </si>
  <si>
    <t>3.2 โครงการทำวุ้นสายรุ้ง (ท่าสะบ้า)</t>
  </si>
  <si>
    <t>3.3 โครงการหมีกระทิ (วังมะปรางเหนือ)</t>
  </si>
  <si>
    <t xml:space="preserve">   3.4 โครงการเฉาก๊วยเห็ดหูหนู (เขาวิเศษ)</t>
  </si>
  <si>
    <t>3.5 อบรมโครงการวัยเจริญพันธ์กับเอดส์ ()</t>
  </si>
  <si>
    <t>3.6นักศึกษาเป็นวิทยากรพี่เลี้ยงให้ รร.ประถม ณค่ายลูกเสือเลสองห้อง(เขาวิเศษ)</t>
  </si>
  <si>
    <t>3.7 กิจกรรมเพื่อพัฒนาทักษะชีวิต(กศน.อ่าวตง)</t>
  </si>
  <si>
    <t xml:space="preserve"> 4. พัฒนาสังคมและชุมชน 45,000 บาท</t>
  </si>
  <si>
    <t xml:space="preserve">    4.1 กิจกรรมช่างปูกระเบื้อง (อ่าวตง)</t>
  </si>
  <si>
    <t xml:space="preserve">    4.2 เลี้ยงปลาสวยงาม (เขาวิเศษ)</t>
  </si>
  <si>
    <t>4.3วันมาฆบูชาแห่ผ้าห่มธาตุควนนกหว้า(เขาวิเศษ)</t>
  </si>
  <si>
    <t>4.4 การเดินไฟฟ้าภายในอาคาร</t>
  </si>
  <si>
    <t>4.5 การทำซาลาเปา(ศรช.วังมะปรางเหนือ)</t>
  </si>
  <si>
    <t>4.6 การทำซูชิ(กศน.วังมะปรางเหนือ)</t>
  </si>
  <si>
    <t>4.7 การเลี้ยงไก่ไข้ (ท่าสะบ้า)</t>
  </si>
  <si>
    <t>4.8 ท่าสีอาคาร (กศน.ตำบลอ่าวตง)</t>
  </si>
  <si>
    <t xml:space="preserve"> 5. เศรษฐกิจพอเพียง 20,000 บาท</t>
  </si>
  <si>
    <t>5.1 การปลูกผักสวนครัว</t>
  </si>
  <si>
    <t>5.2การปลูกไผ่ตงลืมแล้ง</t>
  </si>
  <si>
    <t>5.3 ส่งเสริมคุณภาะชีวิตเศรษฐกิจพอเพียง (อ่าวตง)</t>
  </si>
  <si>
    <t>5.4 ส่งเสริมคุณภาพชีวิตตามหลักปรัชญาเศรษฐกิจพอเพียง(อ่าวตง)</t>
  </si>
  <si>
    <t>5.5 การเพาะเลี้ยงเห็ดนางฟ้า -นางรม</t>
  </si>
  <si>
    <t>5.6 ผักสวนครัวรั้วกินได้ (กศน.วังมะปรางเหนือ)</t>
  </si>
  <si>
    <t>5.7 ปลูกผักสวนครัวอินทรีย์(ศรช.วังมะปรางเหนือ)</t>
  </si>
  <si>
    <t>5.8บ้านนี้มีรักปลูกผักแบ่งบัน(กศน.เขาวิเศษ)</t>
  </si>
  <si>
    <t>5.9 ผักสวนครัว(กศน.ท่าสะบ้า)</t>
  </si>
  <si>
    <t>1. จำนวนผู้รับบริการการใช้ห้องสมุด</t>
  </si>
  <si>
    <t>2. จำนวนสมาชิกห้องสมุด</t>
  </si>
  <si>
    <t>-</t>
  </si>
  <si>
    <t>3. จำนวนผู้เข้าร่วมกิจกรรมส่งเสริมการอ่าน</t>
  </si>
  <si>
    <t>3.1 กิจกรรมกฤตภาคเพื่อการเรียนรู้</t>
  </si>
  <si>
    <t>3.2 กิจกรรมส่งเสริมการอ่านศูนย์พัฒนาเด็กเล็กบ้านคลองงโตน ตำบลเขาวิเศษ อำเภอวังวิเศษ จังหวัดตรัง</t>
  </si>
  <si>
    <t>3.3 กิจกรรมรักการอ่าน รักการเรียนรู้คู่รถโมบาย</t>
  </si>
  <si>
    <t>3.4  บริการอินเตอร์เน็ต</t>
  </si>
  <si>
    <t>3.5 แนะนำหนังสือใหม่</t>
  </si>
  <si>
    <t>3.6 ส่งเสริมการอ่านในห้องสมุด</t>
  </si>
  <si>
    <t>3.7 กิจกรรมส่งเสริมการเรียนรู้ ( การรับชมโทรทัศน์เพื่อการศึกษา (ETV)</t>
  </si>
  <si>
    <t>4. จัดกิจกรรมการศึกษาตามอัธยาศัยใน กศน.ตำบล</t>
  </si>
  <si>
    <t>4.1 ผู้รับบริการบ้านหนังสืออัจฉริยะ กศน.ตำบลเขาวิเศษ</t>
  </si>
  <si>
    <t>4.2 ผู้รับบริการบ้านหนังสืออัจฉริยะ กศน.ตำบลท่าสะบ้า</t>
  </si>
  <si>
    <t>4.3 ผู้รับบริการบ้านหนังสืออัจฉริยะ กศน.ตำบลวังมะปราง</t>
  </si>
  <si>
    <t>4.4 ผู้รับบริการบ้านหนังสืออัจฉริยะ กศน.ตำบลวังมะปรางเหนือ</t>
  </si>
  <si>
    <t>4.5 ผู้รับบริการบ้านหนังสืออัจฉริยะ กศน.ตำบลอ่าวตง</t>
  </si>
  <si>
    <t>4.6 ผู้รับบริการบ้านหนังสืออัจฉริยะ ศรช.ตำบลวังมะปรางเหนือ</t>
  </si>
  <si>
    <t xml:space="preserve">      3.1 ...............................................................................</t>
  </si>
  <si>
    <t>ประจำเดือน ……พฤษภาคม…………………...   พ.ศ.2558</t>
  </si>
  <si>
    <t>ศูนย์ กศน.อำเภอ ......รัษฎา..........</t>
  </si>
  <si>
    <t>ศูนย์ฝึกอาชีพชุมชน</t>
  </si>
  <si>
    <t xml:space="preserve">    2.1 หนึ่งคนหนึ่งอาชีพคตำบลควนเมา</t>
  </si>
  <si>
    <t>2.2 การเลียงปลาดุก</t>
  </si>
  <si>
    <t xml:space="preserve">    2.3 หนึ่งคนหนึ่งอาชีพคตำบลคลองปาง</t>
  </si>
  <si>
    <t>2.4 จัดสวนย่อมอย่างง่าย ต.หนองปรือ</t>
  </si>
  <si>
    <t>2.5 ถักโครเซต์เบื้องต้นต.หนองบัว</t>
  </si>
  <si>
    <t>2.6  ธุรกิจขนมไทยต.เขาไพร</t>
  </si>
  <si>
    <t>2.7  ทำปุ๋ยชีวภาพต.เขาไพร</t>
  </si>
  <si>
    <t>2.8 ออกแบบเสื้อผ้าเบื้องต้นต.คลองปาง</t>
  </si>
  <si>
    <t>2.9 หนึ่งคนหนึ่งอาชีพต.หนองบัว</t>
  </si>
  <si>
    <t>2.10 หนึ่งคนหนึ่งอาชีพต.หนองปรือ</t>
  </si>
  <si>
    <t xml:space="preserve">   3.1 ฟังธรรมนำทาง ต.ควนเมา</t>
  </si>
  <si>
    <t xml:space="preserve">   3.2 ค่านิยม 12 ประการ ต.หนองปรือ</t>
  </si>
  <si>
    <t>3.3 ดูแลผู้สูงอายุ ต.หนองบัว</t>
  </si>
  <si>
    <t>3.4 ส่งเสริมสุขภาพต.เขาไพร</t>
  </si>
  <si>
    <t>3.5 ดูแลสุขภาพ ต.เขาไพร</t>
  </si>
  <si>
    <t xml:space="preserve">    4.1 กิจกรรมปลูกป่ารักษาสิ่งแวดล้อม ต.ควนเมา</t>
  </si>
  <si>
    <t>4.2 ผักสวนครัวรั้วกินได้ ต.ควนเมา</t>
  </si>
  <si>
    <t>4.3 ปลูกผักในกระถางรถยนต์ ต.คลองปาง</t>
  </si>
  <si>
    <t>4.4  ซ่อมคอมพิวเตอร์ต.หนองบัว</t>
  </si>
  <si>
    <t>4.5 ทำลูกประคบสมุนไพร ต.เขาไพร</t>
  </si>
  <si>
    <t>4.6 สานกระเป๋าพลาสติกต.หนองปรือ</t>
  </si>
  <si>
    <t xml:space="preserve">     5.1 ปลูกผักปลอดสารพิษ  ต.คลองปาง</t>
  </si>
  <si>
    <t xml:space="preserve">     5.2 ปลูกผักปลอดสารพิษ  ต.ควนเมา</t>
  </si>
  <si>
    <t>5.3 ปลูกผักปลอดสารพิษต. หนองปรือ</t>
  </si>
  <si>
    <t xml:space="preserve">    3.1 กิจกรรมค่านิยม 12 ประการ  ต.คลองปาง</t>
  </si>
  <si>
    <t xml:space="preserve">    3.2 กิจกรรมมุมอาเชียนศึกษา ต.คลองปาง</t>
  </si>
  <si>
    <t>3.3 ส่งเสริมการอ่าน ต.หนองปรือ</t>
  </si>
  <si>
    <t>3.4 ส่งเสริมการอ่านต.ควนเมา</t>
  </si>
  <si>
    <t xml:space="preserve">   4.1 การส่งเสริมการอ่านใน กศน.ต.ควนเมา</t>
  </si>
  <si>
    <t>4.2การส่งเสริมการอ่านใน กศน.ต.คลองปาง</t>
  </si>
  <si>
    <t>4.2 กิจกรรมส่งเสริมการอ่าน ต. หนองปรือ</t>
  </si>
  <si>
    <t>4.3 กิจกรรมรักการอ่านต.หนองปรือ</t>
  </si>
  <si>
    <t>4.4 บริการหนังสือต.เขาไพร</t>
  </si>
  <si>
    <t xml:space="preserve">  5.1 จัดนิทรรศการวันพ่อบ้านหนังสืออัริยะ ต.คลองปาง</t>
  </si>
  <si>
    <t>5.2  กิจกรรมมอบสิ่งประดิษฐ นสพ.ต.ควนเมา</t>
  </si>
  <si>
    <t>5 หลัง</t>
  </si>
  <si>
    <t>5.3 รักการอ่านต.หนองปรือ</t>
  </si>
  <si>
    <t>5.4 บริการยืมคีนต.หนองบัว</t>
  </si>
  <si>
    <t>5.5 บริการยืมคืนต.เขาไพร</t>
  </si>
  <si>
    <t xml:space="preserve">      3.1 โครงการติวก่อนสอบ N-NET</t>
  </si>
  <si>
    <t xml:space="preserve">      3.2 ...............................................................................</t>
  </si>
  <si>
    <t>ประจำเดือน  พฤษภาคม   พ.ศ. 2558</t>
  </si>
  <si>
    <t>ศูนย์การศึกษานอกระบบและการศึกษาตามอัธยาศัยอำเภอนาโยง</t>
  </si>
  <si>
    <t>เป้าหมาย 6 เดือน (คน/เล่ม)</t>
  </si>
  <si>
    <t xml:space="preserve">รวมผลการดำเนิน  งาน   ที่ผ่านมา    </t>
  </si>
  <si>
    <t>คิดเป็นร้อยละของเป้าหมาย 6 เดือน</t>
  </si>
  <si>
    <t>ค่าวัสดุ</t>
  </si>
  <si>
    <t xml:space="preserve"> 2. อาชีพเพื่อการมีงานทำ</t>
  </si>
  <si>
    <t xml:space="preserve"> 2.1 ศูนย์ฝึกอาชีพชุมชน (งบ สส)</t>
  </si>
  <si>
    <t xml:space="preserve"> 2.2 ศูนย์ฝึกอาชีพชุมชน (งบ ตำบล)</t>
  </si>
  <si>
    <t>-การเลี้ยงไก่พื้นเมือง</t>
  </si>
  <si>
    <t>-การทำอาหารไทยเพื่อการค้า</t>
  </si>
  <si>
    <t>-ค่าตอบแทนการเพาะเห็ด</t>
  </si>
  <si>
    <t>-โครงการสืบสานประเพณีวัฒธรรม</t>
  </si>
  <si>
    <t>-การทำบัญชีครัวเรือน</t>
  </si>
  <si>
    <t>-การทำเครื่องแกง</t>
  </si>
  <si>
    <t>-ค่าตอบแทนนอกเวลา</t>
  </si>
  <si>
    <t>-ค่าไปราชการ</t>
  </si>
  <si>
    <t>-ค่าวัสดุสำนักงาน</t>
  </si>
  <si>
    <t>-ค่าสาธารณูปโภค</t>
  </si>
  <si>
    <t>-ค่าวารสารหสม.</t>
  </si>
  <si>
    <t>-ค่าจ้างพนักงานบริการ</t>
  </si>
  <si>
    <t>-ค่าจ้างนศ.ทำงาน</t>
  </si>
  <si>
    <t>-ค่าซ่อมแซมหสม.</t>
  </si>
  <si>
    <t>-ค่าสื่อ ห้องสมุด</t>
  </si>
  <si>
    <t>-ค่านสพ.ตำบล</t>
  </si>
  <si>
    <t>-ค่าซื้อหนังสือ งบ กศน.ตำบลนาข้าวเสีย</t>
  </si>
  <si>
    <t>0</t>
  </si>
  <si>
    <t xml:space="preserve">  5.1 กิจกรรมส่งเสริมการอ่าน</t>
  </si>
  <si>
    <t>1. จำนวนผู้ได้รับหนังสือเรียน</t>
  </si>
  <si>
    <t>2. ค่าจ้างซื้อหนังสือเรียน</t>
  </si>
  <si>
    <t>3. พัฒนาคุณภาพผู้เรียน</t>
  </si>
  <si>
    <t>-โครงการส่งเสริมสุขภาพกาย สุขภาพใจ</t>
  </si>
  <si>
    <t>4. จำนวนนักศึกษาหลักสูตรการศึกษาขั้นพื้นฐาน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</si>
</sst>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3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name val="TH SarabunIT๙"/>
      <family val="2"/>
    </font>
    <font>
      <sz val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FF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3">
    <xf numFmtId="0" fontId="0" fillId="0" borderId="0" xfId="0" applyFont="1" applyAlignment="1">
      <alignment/>
    </xf>
    <xf numFmtId="0" fontId="3" fillId="0" borderId="0" xfId="34" applyFont="1">
      <alignment/>
      <protection/>
    </xf>
    <xf numFmtId="0" fontId="3" fillId="0" borderId="0" xfId="34" applyFont="1" applyFill="1">
      <alignment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0" xfId="34" applyFont="1">
      <alignment/>
      <protection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0" xfId="34" applyFont="1" applyFill="1" applyAlignment="1">
      <alignment horizontal="center"/>
      <protection/>
    </xf>
    <xf numFmtId="0" fontId="4" fillId="33" borderId="10" xfId="34" applyFont="1" applyFill="1" applyBorder="1" applyAlignment="1">
      <alignment horizontal="left" vertical="center"/>
      <protection/>
    </xf>
    <xf numFmtId="0" fontId="4" fillId="0" borderId="11" xfId="34" applyFont="1" applyBorder="1" applyAlignment="1">
      <alignment horizontal="left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7" fillId="0" borderId="10" xfId="34" applyFont="1" applyBorder="1">
      <alignment/>
      <protection/>
    </xf>
    <xf numFmtId="0" fontId="7" fillId="0" borderId="0" xfId="34" applyFont="1">
      <alignment/>
      <protection/>
    </xf>
    <xf numFmtId="0" fontId="4" fillId="0" borderId="10" xfId="34" applyFont="1" applyFill="1" applyBorder="1" applyAlignment="1">
      <alignment/>
      <protection/>
    </xf>
    <xf numFmtId="0" fontId="4" fillId="0" borderId="10" xfId="34" applyFont="1" applyFill="1" applyBorder="1">
      <alignment/>
      <protection/>
    </xf>
    <xf numFmtId="3" fontId="4" fillId="0" borderId="10" xfId="34" applyNumberFormat="1" applyFont="1" applyFill="1" applyBorder="1">
      <alignment/>
      <protection/>
    </xf>
    <xf numFmtId="2" fontId="4" fillId="0" borderId="10" xfId="34" applyNumberFormat="1" applyFont="1" applyFill="1" applyBorder="1">
      <alignment/>
      <protection/>
    </xf>
    <xf numFmtId="187" fontId="4" fillId="0" borderId="10" xfId="39" applyNumberFormat="1" applyFont="1" applyFill="1" applyBorder="1" applyAlignment="1">
      <alignment/>
    </xf>
    <xf numFmtId="187" fontId="4" fillId="0" borderId="10" xfId="34" applyNumberFormat="1" applyFont="1" applyFill="1" applyBorder="1">
      <alignment/>
      <protection/>
    </xf>
    <xf numFmtId="0" fontId="4" fillId="0" borderId="10" xfId="47" applyFont="1" applyBorder="1" applyAlignment="1">
      <alignment wrapText="1"/>
      <protection/>
    </xf>
    <xf numFmtId="43" fontId="4" fillId="0" borderId="10" xfId="39" applyNumberFormat="1" applyFont="1" applyFill="1" applyBorder="1" applyAlignment="1">
      <alignment/>
    </xf>
    <xf numFmtId="4" fontId="4" fillId="0" borderId="10" xfId="34" applyNumberFormat="1" applyFont="1" applyFill="1" applyBorder="1">
      <alignment/>
      <protection/>
    </xf>
    <xf numFmtId="43" fontId="4" fillId="0" borderId="10" xfId="34" applyNumberFormat="1" applyFont="1" applyFill="1" applyBorder="1">
      <alignment/>
      <protection/>
    </xf>
    <xf numFmtId="0" fontId="3" fillId="0" borderId="10" xfId="47" applyFont="1" applyBorder="1" applyAlignment="1">
      <alignment wrapText="1"/>
      <protection/>
    </xf>
    <xf numFmtId="0" fontId="3" fillId="0" borderId="10" xfId="34" applyFont="1" applyFill="1" applyBorder="1">
      <alignment/>
      <protection/>
    </xf>
    <xf numFmtId="2" fontId="3" fillId="0" borderId="10" xfId="34" applyNumberFormat="1" applyFont="1" applyFill="1" applyBorder="1">
      <alignment/>
      <protection/>
    </xf>
    <xf numFmtId="3" fontId="3" fillId="0" borderId="10" xfId="34" applyNumberFormat="1" applyFont="1" applyFill="1" applyBorder="1">
      <alignment/>
      <protection/>
    </xf>
    <xf numFmtId="4" fontId="3" fillId="0" borderId="10" xfId="34" applyNumberFormat="1" applyFont="1" applyFill="1" applyBorder="1">
      <alignment/>
      <protection/>
    </xf>
    <xf numFmtId="187" fontId="3" fillId="0" borderId="10" xfId="34" applyNumberFormat="1" applyFont="1" applyFill="1" applyBorder="1">
      <alignment/>
      <protection/>
    </xf>
    <xf numFmtId="0" fontId="3" fillId="0" borderId="10" xfId="34" applyFont="1" applyFill="1" applyBorder="1" applyAlignment="1">
      <alignment wrapText="1"/>
      <protection/>
    </xf>
    <xf numFmtId="187" fontId="3" fillId="0" borderId="10" xfId="39" applyNumberFormat="1" applyFont="1" applyFill="1" applyBorder="1" applyAlignment="1">
      <alignment/>
    </xf>
    <xf numFmtId="0" fontId="4" fillId="33" borderId="10" xfId="34" applyFont="1" applyFill="1" applyBorder="1" applyAlignment="1">
      <alignment wrapText="1"/>
      <protection/>
    </xf>
    <xf numFmtId="0" fontId="3" fillId="33" borderId="10" xfId="34" applyFont="1" applyFill="1" applyBorder="1">
      <alignment/>
      <protection/>
    </xf>
    <xf numFmtId="0" fontId="3" fillId="0" borderId="10" xfId="34" applyFont="1" applyBorder="1">
      <alignment/>
      <protection/>
    </xf>
    <xf numFmtId="0" fontId="4" fillId="0" borderId="10" xfId="34" applyFont="1" applyFill="1" applyBorder="1" applyAlignment="1">
      <alignment wrapText="1"/>
      <protection/>
    </xf>
    <xf numFmtId="0" fontId="4" fillId="33" borderId="10" xfId="34" applyFont="1" applyFill="1" applyBorder="1" applyAlignment="1">
      <alignment/>
      <protection/>
    </xf>
    <xf numFmtId="3" fontId="3" fillId="0" borderId="10" xfId="34" applyNumberFormat="1" applyFont="1" applyBorder="1">
      <alignment/>
      <protection/>
    </xf>
    <xf numFmtId="4" fontId="3" fillId="0" borderId="10" xfId="34" applyNumberFormat="1" applyFont="1" applyBorder="1">
      <alignment/>
      <protection/>
    </xf>
    <xf numFmtId="2" fontId="3" fillId="0" borderId="10" xfId="34" applyNumberFormat="1" applyFont="1" applyBorder="1">
      <alignment/>
      <protection/>
    </xf>
    <xf numFmtId="3" fontId="4" fillId="0" borderId="10" xfId="33" applyNumberFormat="1" applyFont="1" applyFill="1" applyBorder="1" applyAlignment="1">
      <alignment/>
    </xf>
    <xf numFmtId="3" fontId="3" fillId="0" borderId="10" xfId="33" applyNumberFormat="1" applyFont="1" applyFill="1" applyBorder="1" applyAlignment="1">
      <alignment/>
    </xf>
    <xf numFmtId="0" fontId="3" fillId="0" borderId="10" xfId="34" applyFont="1" applyBorder="1" applyAlignment="1">
      <alignment wrapText="1"/>
      <protection/>
    </xf>
    <xf numFmtId="0" fontId="4" fillId="0" borderId="10" xfId="34" applyFont="1" applyBorder="1">
      <alignment/>
      <protection/>
    </xf>
    <xf numFmtId="3" fontId="4" fillId="0" borderId="10" xfId="34" applyNumberFormat="1" applyFont="1" applyBorder="1">
      <alignment/>
      <protection/>
    </xf>
    <xf numFmtId="2" fontId="4" fillId="34" borderId="10" xfId="34" applyNumberFormat="1" applyFont="1" applyFill="1" applyBorder="1">
      <alignment/>
      <protection/>
    </xf>
    <xf numFmtId="187" fontId="4" fillId="0" borderId="10" xfId="39" applyNumberFormat="1" applyFont="1" applyBorder="1" applyAlignment="1">
      <alignment/>
    </xf>
    <xf numFmtId="2" fontId="4" fillId="0" borderId="10" xfId="34" applyNumberFormat="1" applyFont="1" applyBorder="1">
      <alignment/>
      <protection/>
    </xf>
    <xf numFmtId="0" fontId="4" fillId="33" borderId="10" xfId="34" applyFont="1" applyFill="1" applyBorder="1">
      <alignment/>
      <protection/>
    </xf>
    <xf numFmtId="0" fontId="3" fillId="0" borderId="10" xfId="34" applyFont="1" applyBorder="1" applyAlignment="1">
      <alignment vertical="center" wrapText="1"/>
      <protection/>
    </xf>
    <xf numFmtId="187" fontId="3" fillId="0" borderId="10" xfId="39" applyNumberFormat="1" applyFont="1" applyBorder="1" applyAlignment="1">
      <alignment/>
    </xf>
    <xf numFmtId="0" fontId="3" fillId="0" borderId="10" xfId="34" applyFont="1" applyBorder="1" applyAlignment="1">
      <alignment horizontal="left" wrapText="1"/>
      <protection/>
    </xf>
    <xf numFmtId="0" fontId="4" fillId="34" borderId="10" xfId="34" applyFont="1" applyFill="1" applyBorder="1">
      <alignment/>
      <protection/>
    </xf>
    <xf numFmtId="187" fontId="4" fillId="34" borderId="10" xfId="39" applyNumberFormat="1" applyFont="1" applyFill="1" applyBorder="1" applyAlignment="1">
      <alignment/>
    </xf>
    <xf numFmtId="43" fontId="4" fillId="34" borderId="10" xfId="34" applyNumberFormat="1" applyFont="1" applyFill="1" applyBorder="1">
      <alignment/>
      <protection/>
    </xf>
    <xf numFmtId="3" fontId="4" fillId="34" borderId="10" xfId="34" applyNumberFormat="1" applyFont="1" applyFill="1" applyBorder="1">
      <alignment/>
      <protection/>
    </xf>
    <xf numFmtId="43" fontId="4" fillId="34" borderId="10" xfId="39" applyNumberFormat="1" applyFont="1" applyFill="1" applyBorder="1" applyAlignment="1">
      <alignment/>
    </xf>
    <xf numFmtId="43" fontId="7" fillId="34" borderId="10" xfId="39" applyNumberFormat="1" applyFont="1" applyFill="1" applyBorder="1" applyAlignment="1">
      <alignment/>
    </xf>
    <xf numFmtId="0" fontId="4" fillId="34" borderId="0" xfId="34" applyFont="1" applyFill="1">
      <alignment/>
      <protection/>
    </xf>
    <xf numFmtId="0" fontId="3" fillId="34" borderId="10" xfId="34" applyFont="1" applyFill="1" applyBorder="1">
      <alignment/>
      <protection/>
    </xf>
    <xf numFmtId="0" fontId="3" fillId="34" borderId="0" xfId="34" applyFont="1" applyFill="1">
      <alignment/>
      <protection/>
    </xf>
    <xf numFmtId="187" fontId="4" fillId="0" borderId="10" xfId="34" applyNumberFormat="1" applyFont="1" applyBorder="1">
      <alignment/>
      <protection/>
    </xf>
    <xf numFmtId="0" fontId="4" fillId="0" borderId="10" xfId="34" applyFont="1" applyBorder="1" applyAlignment="1">
      <alignment wrapText="1"/>
      <protection/>
    </xf>
    <xf numFmtId="0" fontId="3" fillId="35" borderId="10" xfId="34" applyFont="1" applyFill="1" applyBorder="1" applyAlignment="1">
      <alignment wrapText="1"/>
      <protection/>
    </xf>
    <xf numFmtId="0" fontId="3" fillId="35" borderId="10" xfId="34" applyFont="1" applyFill="1" applyBorder="1">
      <alignment/>
      <protection/>
    </xf>
    <xf numFmtId="0" fontId="4" fillId="35" borderId="10" xfId="34" applyFont="1" applyFill="1" applyBorder="1">
      <alignment/>
      <protection/>
    </xf>
    <xf numFmtId="0" fontId="3" fillId="35" borderId="0" xfId="34" applyFont="1" applyFill="1">
      <alignment/>
      <protection/>
    </xf>
    <xf numFmtId="0" fontId="2" fillId="0" borderId="0" xfId="35">
      <alignment/>
      <protection/>
    </xf>
    <xf numFmtId="0" fontId="3" fillId="0" borderId="0" xfId="35" applyFont="1">
      <alignment/>
      <protection/>
    </xf>
    <xf numFmtId="0" fontId="4" fillId="0" borderId="12" xfId="35" applyFont="1" applyBorder="1" applyAlignment="1">
      <alignment horizontal="center" vertical="center" wrapText="1"/>
      <protection/>
    </xf>
    <xf numFmtId="0" fontId="4" fillId="0" borderId="0" xfId="35" applyFont="1" applyAlignment="1">
      <alignment horizontal="center" vertical="center" wrapText="1"/>
      <protection/>
    </xf>
    <xf numFmtId="0" fontId="4" fillId="0" borderId="13" xfId="35" applyFont="1" applyFill="1" applyBorder="1" applyAlignment="1">
      <alignment horizontal="center" vertical="center" wrapText="1"/>
      <protection/>
    </xf>
    <xf numFmtId="0" fontId="4" fillId="0" borderId="0" xfId="35" applyFont="1" applyFill="1" applyAlignment="1">
      <alignment horizontal="center"/>
      <protection/>
    </xf>
    <xf numFmtId="0" fontId="4" fillId="0" borderId="0" xfId="35" applyFont="1">
      <alignment/>
      <protection/>
    </xf>
    <xf numFmtId="0" fontId="4" fillId="33" borderId="10" xfId="35" applyFont="1" applyFill="1" applyBorder="1" applyAlignment="1">
      <alignment horizontal="left" vertical="center"/>
      <protection/>
    </xf>
    <xf numFmtId="0" fontId="4" fillId="0" borderId="0" xfId="35" applyFont="1" applyBorder="1">
      <alignment/>
      <protection/>
    </xf>
    <xf numFmtId="0" fontId="4" fillId="0" borderId="11" xfId="35" applyFont="1" applyBorder="1" applyAlignment="1">
      <alignment horizontal="left" vertical="center"/>
      <protection/>
    </xf>
    <xf numFmtId="0" fontId="7" fillId="0" borderId="11" xfId="35" applyFont="1" applyBorder="1" applyAlignment="1">
      <alignment horizontal="center" vertical="center" wrapText="1"/>
      <protection/>
    </xf>
    <xf numFmtId="10" fontId="7" fillId="0" borderId="11" xfId="35" applyNumberFormat="1" applyFont="1" applyBorder="1" applyAlignment="1">
      <alignment horizontal="center" vertical="center" wrapText="1"/>
      <protection/>
    </xf>
    <xf numFmtId="0" fontId="7" fillId="0" borderId="11" xfId="35" applyFont="1" applyBorder="1">
      <alignment/>
      <protection/>
    </xf>
    <xf numFmtId="0" fontId="7" fillId="0" borderId="0" xfId="35" applyFont="1">
      <alignment/>
      <protection/>
    </xf>
    <xf numFmtId="0" fontId="4" fillId="0" borderId="10" xfId="35" applyFont="1" applyFill="1" applyBorder="1" applyAlignment="1">
      <alignment/>
      <protection/>
    </xf>
    <xf numFmtId="0" fontId="4" fillId="0" borderId="10" xfId="35" applyFont="1" applyFill="1" applyBorder="1" applyAlignment="1">
      <alignment horizontal="center"/>
      <protection/>
    </xf>
    <xf numFmtId="0" fontId="3" fillId="0" borderId="10" xfId="35" applyFont="1" applyFill="1" applyBorder="1" applyAlignment="1">
      <alignment horizontal="center"/>
      <protection/>
    </xf>
    <xf numFmtId="10" fontId="3" fillId="0" borderId="10" xfId="35" applyNumberFormat="1" applyFont="1" applyFill="1" applyBorder="1" applyAlignment="1">
      <alignment horizontal="center"/>
      <protection/>
    </xf>
    <xf numFmtId="0" fontId="3" fillId="0" borderId="10" xfId="35" applyFont="1" applyFill="1" applyBorder="1">
      <alignment/>
      <protection/>
    </xf>
    <xf numFmtId="0" fontId="3" fillId="0" borderId="0" xfId="35" applyFont="1" applyFill="1">
      <alignment/>
      <protection/>
    </xf>
    <xf numFmtId="0" fontId="4" fillId="0" borderId="10" xfId="47" applyFont="1" applyBorder="1" applyAlignment="1">
      <alignment horizontal="left" wrapText="1"/>
      <protection/>
    </xf>
    <xf numFmtId="0" fontId="49" fillId="0" borderId="10" xfId="0" applyFont="1" applyBorder="1" applyAlignment="1">
      <alignment horizontal="center"/>
    </xf>
    <xf numFmtId="0" fontId="3" fillId="0" borderId="10" xfId="35" applyFont="1" applyFill="1" applyBorder="1" applyAlignment="1">
      <alignment wrapText="1"/>
      <protection/>
    </xf>
    <xf numFmtId="0" fontId="4" fillId="0" borderId="10" xfId="35" applyFont="1" applyFill="1" applyBorder="1" applyAlignment="1">
      <alignment wrapText="1"/>
      <protection/>
    </xf>
    <xf numFmtId="0" fontId="3" fillId="0" borderId="10" xfId="34" applyFont="1" applyFill="1" applyBorder="1" applyAlignment="1">
      <alignment horizontal="center"/>
      <protection/>
    </xf>
    <xf numFmtId="0" fontId="3" fillId="0" borderId="10" xfId="35" applyFont="1" applyFill="1" applyBorder="1" applyAlignment="1" quotePrefix="1">
      <alignment horizontal="center"/>
      <protection/>
    </xf>
    <xf numFmtId="9" fontId="3" fillId="0" borderId="10" xfId="35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9" fontId="3" fillId="0" borderId="10" xfId="35" applyNumberFormat="1" applyFont="1" applyFill="1" applyBorder="1">
      <alignment/>
      <protection/>
    </xf>
    <xf numFmtId="3" fontId="3" fillId="0" borderId="10" xfId="35" applyNumberFormat="1" applyFont="1" applyFill="1" applyBorder="1" applyAlignment="1">
      <alignment horizontal="center"/>
      <protection/>
    </xf>
    <xf numFmtId="3" fontId="3" fillId="0" borderId="10" xfId="35" applyNumberFormat="1" applyFont="1" applyFill="1" applyBorder="1">
      <alignment/>
      <protection/>
    </xf>
    <xf numFmtId="0" fontId="4" fillId="33" borderId="10" xfId="35" applyFont="1" applyFill="1" applyBorder="1" applyAlignment="1">
      <alignment wrapText="1"/>
      <protection/>
    </xf>
    <xf numFmtId="0" fontId="4" fillId="33" borderId="10" xfId="35" applyFont="1" applyFill="1" applyBorder="1" applyAlignment="1">
      <alignment horizontal="center"/>
      <protection/>
    </xf>
    <xf numFmtId="0" fontId="3" fillId="33" borderId="10" xfId="35" applyFont="1" applyFill="1" applyBorder="1" applyAlignment="1">
      <alignment horizontal="center"/>
      <protection/>
    </xf>
    <xf numFmtId="0" fontId="3" fillId="0" borderId="10" xfId="35" applyFont="1" applyBorder="1" applyAlignment="1">
      <alignment horizontal="center"/>
      <protection/>
    </xf>
    <xf numFmtId="10" fontId="3" fillId="0" borderId="10" xfId="35" applyNumberFormat="1" applyFont="1" applyBorder="1" applyAlignment="1">
      <alignment horizontal="center"/>
      <protection/>
    </xf>
    <xf numFmtId="0" fontId="3" fillId="0" borderId="10" xfId="35" applyFont="1" applyBorder="1">
      <alignment/>
      <protection/>
    </xf>
    <xf numFmtId="0" fontId="4" fillId="33" borderId="10" xfId="35" applyFont="1" applyFill="1" applyBorder="1" applyAlignment="1">
      <alignment/>
      <protection/>
    </xf>
    <xf numFmtId="0" fontId="4" fillId="0" borderId="10" xfId="35" applyFont="1" applyFill="1" applyBorder="1">
      <alignment/>
      <protection/>
    </xf>
    <xf numFmtId="3" fontId="3" fillId="0" borderId="10" xfId="34" applyNumberFormat="1" applyFont="1" applyFill="1" applyBorder="1" applyAlignment="1">
      <alignment horizontal="center"/>
      <protection/>
    </xf>
    <xf numFmtId="0" fontId="4" fillId="0" borderId="10" xfId="35" applyFont="1" applyBorder="1" applyAlignment="1">
      <alignment horizontal="center"/>
      <protection/>
    </xf>
    <xf numFmtId="0" fontId="4" fillId="0" borderId="10" xfId="35" applyFont="1" applyBorder="1">
      <alignment/>
      <protection/>
    </xf>
    <xf numFmtId="3" fontId="4" fillId="0" borderId="10" xfId="35" applyNumberFormat="1" applyFont="1" applyFill="1" applyBorder="1" applyAlignment="1">
      <alignment horizontal="center"/>
      <protection/>
    </xf>
    <xf numFmtId="3" fontId="4" fillId="0" borderId="10" xfId="35" applyNumberFormat="1" applyFont="1" applyBorder="1" applyAlignment="1">
      <alignment horizontal="center"/>
      <protection/>
    </xf>
    <xf numFmtId="0" fontId="4" fillId="34" borderId="10" xfId="35" applyFont="1" applyFill="1" applyBorder="1" applyAlignment="1">
      <alignment horizontal="center"/>
      <protection/>
    </xf>
    <xf numFmtId="0" fontId="3" fillId="34" borderId="10" xfId="35" applyFont="1" applyFill="1" applyBorder="1" applyAlignment="1">
      <alignment horizontal="center"/>
      <protection/>
    </xf>
    <xf numFmtId="0" fontId="4" fillId="33" borderId="10" xfId="35" applyFont="1" applyFill="1" applyBorder="1">
      <alignment/>
      <protection/>
    </xf>
    <xf numFmtId="0" fontId="4" fillId="36" borderId="10" xfId="35" applyFont="1" applyFill="1" applyBorder="1" applyAlignment="1">
      <alignment horizontal="center"/>
      <protection/>
    </xf>
    <xf numFmtId="0" fontId="3" fillId="36" borderId="10" xfId="35" applyFont="1" applyFill="1" applyBorder="1" applyAlignment="1">
      <alignment horizontal="center"/>
      <protection/>
    </xf>
    <xf numFmtId="0" fontId="3" fillId="36" borderId="10" xfId="34" applyFont="1" applyFill="1" applyBorder="1" applyAlignment="1">
      <alignment horizontal="center"/>
      <protection/>
    </xf>
    <xf numFmtId="9" fontId="3" fillId="0" borderId="10" xfId="35" applyNumberFormat="1" applyFont="1" applyBorder="1" applyAlignment="1">
      <alignment horizontal="center"/>
      <protection/>
    </xf>
    <xf numFmtId="3" fontId="3" fillId="0" borderId="10" xfId="35" applyNumberFormat="1" applyFont="1" applyBorder="1">
      <alignment/>
      <protection/>
    </xf>
    <xf numFmtId="0" fontId="3" fillId="0" borderId="10" xfId="35" applyFont="1" applyBorder="1" applyAlignment="1">
      <alignment wrapText="1"/>
      <protection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0" fontId="3" fillId="0" borderId="10" xfId="5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3" fontId="3" fillId="0" borderId="0" xfId="39" applyFont="1" applyFill="1" applyAlignment="1">
      <alignment/>
    </xf>
    <xf numFmtId="43" fontId="3" fillId="0" borderId="10" xfId="39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3" fillId="0" borderId="10" xfId="39" applyNumberFormat="1" applyFont="1" applyFill="1" applyBorder="1" applyAlignment="1">
      <alignment horizontal="center"/>
    </xf>
    <xf numFmtId="187" fontId="3" fillId="0" borderId="10" xfId="39" applyNumberFormat="1" applyFont="1" applyFill="1" applyBorder="1" applyAlignment="1">
      <alignment horizontal="center" vertical="center"/>
    </xf>
    <xf numFmtId="0" fontId="3" fillId="0" borderId="10" xfId="39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9" fontId="3" fillId="0" borderId="0" xfId="5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43" fontId="3" fillId="0" borderId="0" xfId="39" applyFont="1" applyFill="1" applyBorder="1" applyAlignment="1">
      <alignment/>
    </xf>
    <xf numFmtId="10" fontId="3" fillId="0" borderId="0" xfId="5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3" fontId="8" fillId="0" borderId="10" xfId="39" applyFont="1" applyBorder="1" applyAlignment="1">
      <alignment/>
    </xf>
    <xf numFmtId="0" fontId="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87" fontId="9" fillId="0" borderId="10" xfId="39" applyNumberFormat="1" applyFont="1" applyFill="1" applyBorder="1" applyAlignment="1">
      <alignment/>
    </xf>
    <xf numFmtId="187" fontId="8" fillId="0" borderId="10" xfId="39" applyNumberFormat="1" applyFont="1" applyFill="1" applyBorder="1" applyAlignment="1">
      <alignment/>
    </xf>
    <xf numFmtId="10" fontId="3" fillId="0" borderId="10" xfId="50" applyNumberFormat="1" applyFont="1" applyFill="1" applyBorder="1" applyAlignment="1">
      <alignment horizontal="center" vertical="center"/>
    </xf>
    <xf numFmtId="187" fontId="3" fillId="0" borderId="10" xfId="39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10" fontId="3" fillId="0" borderId="10" xfId="50" applyNumberFormat="1" applyFont="1" applyFill="1" applyBorder="1" applyAlignment="1">
      <alignment horizontal="center"/>
    </xf>
    <xf numFmtId="187" fontId="4" fillId="0" borderId="10" xfId="39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3" fillId="0" borderId="10" xfId="39" applyNumberFormat="1" applyFont="1" applyFill="1" applyBorder="1" applyAlignment="1">
      <alignment horizontal="center" vertical="center"/>
    </xf>
    <xf numFmtId="0" fontId="3" fillId="0" borderId="10" xfId="39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87" fontId="4" fillId="0" borderId="10" xfId="39" applyNumberFormat="1" applyFont="1" applyBorder="1" applyAlignment="1">
      <alignment horizontal="center"/>
    </xf>
    <xf numFmtId="0" fontId="3" fillId="0" borderId="10" xfId="39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7" fontId="3" fillId="0" borderId="10" xfId="39" applyNumberFormat="1" applyFont="1" applyBorder="1" applyAlignment="1">
      <alignment horizontal="center"/>
    </xf>
    <xf numFmtId="187" fontId="3" fillId="0" borderId="10" xfId="39" applyNumberFormat="1" applyFont="1" applyBorder="1" applyAlignment="1">
      <alignment/>
    </xf>
    <xf numFmtId="187" fontId="9" fillId="0" borderId="10" xfId="39" applyNumberFormat="1" applyFont="1" applyBorder="1" applyAlignment="1">
      <alignment/>
    </xf>
    <xf numFmtId="10" fontId="3" fillId="0" borderId="10" xfId="5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87" fontId="8" fillId="0" borderId="10" xfId="39" applyNumberFormat="1" applyFont="1" applyBorder="1" applyAlignment="1">
      <alignment/>
    </xf>
    <xf numFmtId="187" fontId="4" fillId="0" borderId="10" xfId="39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3" fontId="8" fillId="0" borderId="10" xfId="39" applyFont="1" applyFill="1" applyBorder="1" applyAlignment="1">
      <alignment/>
    </xf>
    <xf numFmtId="9" fontId="3" fillId="0" borderId="10" xfId="5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9" fontId="3" fillId="0" borderId="10" xfId="50" applyFont="1" applyFill="1" applyBorder="1" applyAlignment="1">
      <alignment horizontal="center"/>
    </xf>
    <xf numFmtId="43" fontId="8" fillId="0" borderId="10" xfId="39" applyFont="1" applyFill="1" applyBorder="1" applyAlignment="1">
      <alignment horizontal="center"/>
    </xf>
    <xf numFmtId="43" fontId="3" fillId="0" borderId="10" xfId="39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3" fontId="9" fillId="0" borderId="10" xfId="39" applyNumberFormat="1" applyFont="1" applyFill="1" applyBorder="1" applyAlignment="1">
      <alignment/>
    </xf>
    <xf numFmtId="43" fontId="9" fillId="0" borderId="10" xfId="39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6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6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4" fillId="6" borderId="10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2" fontId="3" fillId="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6" borderId="10" xfId="0" applyNumberFormat="1" applyFont="1" applyFill="1" applyBorder="1" applyAlignment="1">
      <alignment/>
    </xf>
    <xf numFmtId="0" fontId="3" fillId="37" borderId="0" xfId="0" applyFont="1" applyFill="1" applyAlignment="1">
      <alignment/>
    </xf>
    <xf numFmtId="43" fontId="3" fillId="0" borderId="0" xfId="39" applyFont="1" applyAlignment="1">
      <alignment/>
    </xf>
    <xf numFmtId="0" fontId="4" fillId="37" borderId="0" xfId="0" applyFont="1" applyFill="1" applyAlignment="1">
      <alignment/>
    </xf>
    <xf numFmtId="43" fontId="4" fillId="0" borderId="0" xfId="39" applyFont="1" applyAlignment="1">
      <alignment/>
    </xf>
    <xf numFmtId="0" fontId="4" fillId="38" borderId="10" xfId="0" applyFont="1" applyFill="1" applyBorder="1" applyAlignment="1">
      <alignment horizontal="left" vertical="center" wrapText="1"/>
    </xf>
    <xf numFmtId="187" fontId="7" fillId="0" borderId="10" xfId="39" applyNumberFormat="1" applyFont="1" applyBorder="1" applyAlignment="1">
      <alignment/>
    </xf>
    <xf numFmtId="43" fontId="7" fillId="0" borderId="10" xfId="39" applyFont="1" applyBorder="1" applyAlignment="1">
      <alignment/>
    </xf>
    <xf numFmtId="0" fontId="7" fillId="37" borderId="0" xfId="0" applyFont="1" applyFill="1" applyAlignment="1">
      <alignment/>
    </xf>
    <xf numFmtId="43" fontId="7" fillId="0" borderId="0" xfId="39" applyFont="1" applyAlignment="1">
      <alignment/>
    </xf>
    <xf numFmtId="41" fontId="3" fillId="0" borderId="10" xfId="0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187" fontId="3" fillId="0" borderId="0" xfId="0" applyNumberFormat="1" applyFont="1" applyAlignment="1">
      <alignment/>
    </xf>
    <xf numFmtId="187" fontId="3" fillId="37" borderId="0" xfId="0" applyNumberFormat="1" applyFont="1" applyFill="1" applyAlignment="1">
      <alignment/>
    </xf>
    <xf numFmtId="43" fontId="3" fillId="0" borderId="10" xfId="39" applyNumberFormat="1" applyFont="1" applyFill="1" applyBorder="1" applyAlignment="1">
      <alignment/>
    </xf>
    <xf numFmtId="187" fontId="4" fillId="0" borderId="10" xfId="39" applyNumberFormat="1" applyFont="1" applyFill="1" applyBorder="1" applyAlignment="1">
      <alignment wrapText="1"/>
    </xf>
    <xf numFmtId="43" fontId="3" fillId="0" borderId="10" xfId="39" applyFont="1" applyFill="1" applyBorder="1" applyAlignment="1">
      <alignment wrapText="1"/>
    </xf>
    <xf numFmtId="187" fontId="3" fillId="0" borderId="10" xfId="39" applyNumberFormat="1" applyFont="1" applyFill="1" applyBorder="1" applyAlignment="1">
      <alignment wrapText="1"/>
    </xf>
    <xf numFmtId="43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3" fontId="3" fillId="0" borderId="0" xfId="39" applyFont="1" applyFill="1" applyAlignment="1">
      <alignment wrapText="1"/>
    </xf>
    <xf numFmtId="0" fontId="3" fillId="37" borderId="0" xfId="0" applyFont="1" applyFill="1" applyAlignment="1">
      <alignment wrapText="1"/>
    </xf>
    <xf numFmtId="0" fontId="4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187" fontId="4" fillId="38" borderId="10" xfId="39" applyNumberFormat="1" applyFont="1" applyFill="1" applyBorder="1" applyAlignment="1">
      <alignment/>
    </xf>
    <xf numFmtId="43" fontId="3" fillId="38" borderId="10" xfId="39" applyFont="1" applyFill="1" applyBorder="1" applyAlignment="1">
      <alignment/>
    </xf>
    <xf numFmtId="187" fontId="3" fillId="38" borderId="10" xfId="39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187" fontId="4" fillId="36" borderId="10" xfId="39" applyNumberFormat="1" applyFont="1" applyFill="1" applyBorder="1" applyAlignment="1">
      <alignment/>
    </xf>
    <xf numFmtId="43" fontId="3" fillId="36" borderId="10" xfId="39" applyFont="1" applyFill="1" applyBorder="1" applyAlignment="1">
      <alignment/>
    </xf>
    <xf numFmtId="187" fontId="3" fillId="36" borderId="10" xfId="39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8" borderId="10" xfId="0" applyFont="1" applyFill="1" applyBorder="1" applyAlignment="1">
      <alignment/>
    </xf>
    <xf numFmtId="187" fontId="4" fillId="38" borderId="10" xfId="0" applyNumberFormat="1" applyFont="1" applyFill="1" applyBorder="1" applyAlignment="1">
      <alignment/>
    </xf>
    <xf numFmtId="2" fontId="3" fillId="38" borderId="10" xfId="0" applyNumberFormat="1" applyFont="1" applyFill="1" applyBorder="1" applyAlignment="1">
      <alignment/>
    </xf>
    <xf numFmtId="43" fontId="3" fillId="38" borderId="10" xfId="0" applyNumberFormat="1" applyFont="1" applyFill="1" applyBorder="1" applyAlignment="1">
      <alignment/>
    </xf>
    <xf numFmtId="187" fontId="3" fillId="36" borderId="0" xfId="0" applyNumberFormat="1" applyFont="1" applyFill="1" applyAlignment="1">
      <alignment/>
    </xf>
    <xf numFmtId="187" fontId="4" fillId="0" borderId="10" xfId="0" applyNumberFormat="1" applyFont="1" applyFill="1" applyBorder="1" applyAlignment="1">
      <alignment/>
    </xf>
    <xf numFmtId="43" fontId="3" fillId="39" borderId="0" xfId="39" applyFont="1" applyFill="1" applyAlignment="1">
      <alignment/>
    </xf>
    <xf numFmtId="0" fontId="3" fillId="12" borderId="10" xfId="0" applyFont="1" applyFill="1" applyBorder="1" applyAlignment="1">
      <alignment wrapText="1"/>
    </xf>
    <xf numFmtId="187" fontId="4" fillId="12" borderId="10" xfId="39" applyNumberFormat="1" applyFont="1" applyFill="1" applyBorder="1" applyAlignment="1">
      <alignment/>
    </xf>
    <xf numFmtId="0" fontId="3" fillId="12" borderId="10" xfId="0" applyFont="1" applyFill="1" applyBorder="1" applyAlignment="1">
      <alignment/>
    </xf>
    <xf numFmtId="41" fontId="3" fillId="12" borderId="10" xfId="0" applyNumberFormat="1" applyFont="1" applyFill="1" applyBorder="1" applyAlignment="1">
      <alignment/>
    </xf>
    <xf numFmtId="2" fontId="3" fillId="12" borderId="10" xfId="0" applyNumberFormat="1" applyFont="1" applyFill="1" applyBorder="1" applyAlignment="1">
      <alignment/>
    </xf>
    <xf numFmtId="43" fontId="3" fillId="12" borderId="10" xfId="39" applyFont="1" applyFill="1" applyBorder="1" applyAlignment="1">
      <alignment/>
    </xf>
    <xf numFmtId="187" fontId="3" fillId="12" borderId="10" xfId="39" applyNumberFormat="1" applyFont="1" applyFill="1" applyBorder="1" applyAlignment="1">
      <alignment/>
    </xf>
    <xf numFmtId="43" fontId="3" fillId="12" borderId="10" xfId="0" applyNumberFormat="1" applyFont="1" applyFill="1" applyBorder="1" applyAlignment="1">
      <alignment/>
    </xf>
    <xf numFmtId="0" fontId="3" fillId="12" borderId="0" xfId="0" applyFont="1" applyFill="1" applyAlignment="1">
      <alignment/>
    </xf>
    <xf numFmtId="43" fontId="3" fillId="12" borderId="0" xfId="39" applyFont="1" applyFill="1" applyAlignment="1">
      <alignment/>
    </xf>
    <xf numFmtId="43" fontId="3" fillId="0" borderId="10" xfId="39" applyFont="1" applyBorder="1" applyAlignment="1">
      <alignment/>
    </xf>
    <xf numFmtId="43" fontId="3" fillId="37" borderId="0" xfId="39" applyFont="1" applyFill="1" applyAlignment="1">
      <alignment/>
    </xf>
    <xf numFmtId="0" fontId="4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87" fontId="4" fillId="0" borderId="11" xfId="39" applyNumberFormat="1" applyFont="1" applyFill="1" applyBorder="1" applyAlignment="1">
      <alignment/>
    </xf>
    <xf numFmtId="43" fontId="4" fillId="0" borderId="11" xfId="39" applyFont="1" applyFill="1" applyBorder="1" applyAlignment="1">
      <alignment/>
    </xf>
    <xf numFmtId="43" fontId="4" fillId="0" borderId="11" xfId="39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0" fontId="4" fillId="12" borderId="10" xfId="0" applyFont="1" applyFill="1" applyBorder="1" applyAlignment="1">
      <alignment/>
    </xf>
    <xf numFmtId="41" fontId="4" fillId="12" borderId="10" xfId="0" applyNumberFormat="1" applyFont="1" applyFill="1" applyBorder="1" applyAlignment="1">
      <alignment/>
    </xf>
    <xf numFmtId="187" fontId="3" fillId="12" borderId="0" xfId="0" applyNumberFormat="1" applyFont="1" applyFill="1" applyAlignment="1">
      <alignment/>
    </xf>
    <xf numFmtId="17" fontId="3" fillId="0" borderId="0" xfId="0" applyNumberFormat="1" applyFont="1" applyFill="1" applyAlignment="1">
      <alignment/>
    </xf>
    <xf numFmtId="187" fontId="3" fillId="12" borderId="0" xfId="39" applyNumberFormat="1" applyFont="1" applyFill="1" applyAlignment="1">
      <alignment/>
    </xf>
    <xf numFmtId="187" fontId="4" fillId="0" borderId="0" xfId="39" applyNumberFormat="1" applyFont="1" applyAlignment="1">
      <alignment/>
    </xf>
    <xf numFmtId="187" fontId="3" fillId="0" borderId="0" xfId="39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4" fillId="35" borderId="10" xfId="47" applyFont="1" applyFill="1" applyBorder="1" applyAlignment="1">
      <alignment wrapText="1"/>
      <protection/>
    </xf>
    <xf numFmtId="0" fontId="3" fillId="35" borderId="10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3" fontId="51" fillId="0" borderId="16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top" wrapText="1"/>
    </xf>
    <xf numFmtId="3" fontId="52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51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3" fontId="52" fillId="0" borderId="18" xfId="0" applyNumberFormat="1" applyFont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3" fontId="51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3" fontId="3" fillId="0" borderId="18" xfId="0" applyNumberFormat="1" applyFont="1" applyBorder="1" applyAlignment="1">
      <alignment horizontal="center" vertical="top" wrapText="1"/>
    </xf>
    <xf numFmtId="3" fontId="49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0" xfId="34" applyFont="1" applyAlignment="1">
      <alignment horizontal="center"/>
      <protection/>
    </xf>
    <xf numFmtId="0" fontId="5" fillId="0" borderId="20" xfId="34" applyFont="1" applyBorder="1" applyAlignment="1">
      <alignment horizont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 wrapText="1"/>
      <protection/>
    </xf>
    <xf numFmtId="0" fontId="4" fillId="0" borderId="21" xfId="34" applyFont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center" vertical="center" wrapText="1"/>
      <protection/>
    </xf>
    <xf numFmtId="0" fontId="4" fillId="0" borderId="22" xfId="34" applyFont="1" applyFill="1" applyBorder="1" applyAlignment="1">
      <alignment horizontal="center" vertical="center" wrapText="1"/>
      <protection/>
    </xf>
    <xf numFmtId="0" fontId="4" fillId="0" borderId="12" xfId="34" applyFont="1" applyFill="1" applyBorder="1" applyAlignment="1">
      <alignment horizontal="center" vertical="center" wrapText="1"/>
      <protection/>
    </xf>
    <xf numFmtId="0" fontId="4" fillId="0" borderId="23" xfId="34" applyFont="1" applyFill="1" applyBorder="1" applyAlignment="1">
      <alignment horizontal="center" vertical="center" wrapText="1"/>
      <protection/>
    </xf>
    <xf numFmtId="0" fontId="4" fillId="0" borderId="24" xfId="34" applyFont="1" applyFill="1" applyBorder="1" applyAlignment="1">
      <alignment horizontal="center" vertical="center" wrapText="1"/>
      <protection/>
    </xf>
    <xf numFmtId="0" fontId="4" fillId="0" borderId="20" xfId="34" applyFont="1" applyFill="1" applyBorder="1" applyAlignment="1">
      <alignment horizontal="center" vertical="center" wrapText="1"/>
      <protection/>
    </xf>
    <xf numFmtId="0" fontId="4" fillId="0" borderId="25" xfId="34" applyFont="1" applyFill="1" applyBorder="1" applyAlignment="1">
      <alignment horizontal="center" vertical="center" wrapText="1"/>
      <protection/>
    </xf>
    <xf numFmtId="0" fontId="4" fillId="0" borderId="26" xfId="34" applyFont="1" applyFill="1" applyBorder="1" applyAlignment="1">
      <alignment horizontal="center" vertical="center" wrapText="1"/>
      <protection/>
    </xf>
    <xf numFmtId="0" fontId="4" fillId="0" borderId="0" xfId="34" applyFont="1" applyFill="1" applyBorder="1" applyAlignment="1">
      <alignment horizontal="center" vertical="center" wrapText="1"/>
      <protection/>
    </xf>
    <xf numFmtId="0" fontId="4" fillId="0" borderId="27" xfId="34" applyFont="1" applyFill="1" applyBorder="1" applyAlignment="1">
      <alignment horizontal="center"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28" xfId="34" applyFont="1" applyFill="1" applyBorder="1" applyAlignment="1">
      <alignment horizontal="center" vertical="center" wrapText="1"/>
      <protection/>
    </xf>
    <xf numFmtId="0" fontId="4" fillId="0" borderId="29" xfId="34" applyFont="1" applyFill="1" applyBorder="1" applyAlignment="1">
      <alignment horizontal="center" vertical="center" wrapText="1"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0" fontId="4" fillId="0" borderId="24" xfId="35" applyFont="1" applyBorder="1" applyAlignment="1">
      <alignment horizontal="center" vertical="center" wrapText="1"/>
      <protection/>
    </xf>
    <xf numFmtId="0" fontId="4" fillId="0" borderId="25" xfId="35" applyFont="1" applyBorder="1" applyAlignment="1">
      <alignment horizontal="center" vertical="center" wrapText="1"/>
      <protection/>
    </xf>
    <xf numFmtId="0" fontId="4" fillId="0" borderId="14" xfId="35" applyFont="1" applyFill="1" applyBorder="1" applyAlignment="1">
      <alignment horizontal="center" vertical="center" wrapText="1"/>
      <protection/>
    </xf>
    <xf numFmtId="0" fontId="4" fillId="0" borderId="28" xfId="35" applyFont="1" applyFill="1" applyBorder="1" applyAlignment="1">
      <alignment horizontal="center" vertical="center" wrapText="1"/>
      <protection/>
    </xf>
    <xf numFmtId="0" fontId="4" fillId="0" borderId="29" xfId="35" applyFont="1" applyFill="1" applyBorder="1" applyAlignment="1">
      <alignment horizontal="center" vertical="center" wrapText="1"/>
      <protection/>
    </xf>
    <xf numFmtId="0" fontId="4" fillId="0" borderId="13" xfId="35" applyFont="1" applyBorder="1" applyAlignment="1">
      <alignment horizontal="center" vertical="center" wrapText="1"/>
      <protection/>
    </xf>
    <xf numFmtId="0" fontId="4" fillId="0" borderId="21" xfId="35" applyFont="1" applyBorder="1" applyAlignment="1">
      <alignment horizontal="center" vertical="center" wrapText="1"/>
      <protection/>
    </xf>
    <xf numFmtId="0" fontId="4" fillId="0" borderId="11" xfId="35" applyFont="1" applyBorder="1" applyAlignment="1">
      <alignment horizontal="center" vertical="center" wrapText="1"/>
      <protection/>
    </xf>
    <xf numFmtId="0" fontId="6" fillId="0" borderId="14" xfId="35" applyFont="1" applyBorder="1" applyAlignment="1">
      <alignment horizontal="center" vertical="center" wrapText="1"/>
      <protection/>
    </xf>
    <xf numFmtId="0" fontId="6" fillId="0" borderId="29" xfId="35" applyFont="1" applyBorder="1" applyAlignment="1">
      <alignment horizontal="center" vertical="center" wrapText="1"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4" fillId="0" borderId="23" xfId="35" applyFont="1" applyBorder="1" applyAlignment="1">
      <alignment horizontal="center" vertical="center"/>
      <protection/>
    </xf>
    <xf numFmtId="0" fontId="4" fillId="0" borderId="27" xfId="35" applyFont="1" applyBorder="1" applyAlignment="1">
      <alignment horizontal="center" vertical="center"/>
      <protection/>
    </xf>
    <xf numFmtId="0" fontId="4" fillId="0" borderId="25" xfId="35" applyFont="1" applyBorder="1" applyAlignment="1">
      <alignment horizontal="center" vertical="center"/>
      <protection/>
    </xf>
    <xf numFmtId="0" fontId="4" fillId="0" borderId="22" xfId="35" applyFont="1" applyBorder="1" applyAlignment="1">
      <alignment horizontal="center" vertical="center" wrapText="1"/>
      <protection/>
    </xf>
    <xf numFmtId="0" fontId="4" fillId="0" borderId="23" xfId="35" applyFont="1" applyBorder="1" applyAlignment="1">
      <alignment horizontal="center" vertical="center" wrapText="1"/>
      <protection/>
    </xf>
    <xf numFmtId="0" fontId="4" fillId="0" borderId="14" xfId="35" applyFont="1" applyBorder="1" applyAlignment="1">
      <alignment horizontal="center" vertical="center" wrapText="1"/>
      <protection/>
    </xf>
    <xf numFmtId="0" fontId="4" fillId="0" borderId="28" xfId="35" applyFont="1" applyBorder="1" applyAlignment="1">
      <alignment horizontal="center" vertical="center" wrapText="1"/>
      <protection/>
    </xf>
    <xf numFmtId="0" fontId="4" fillId="0" borderId="29" xfId="35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187" fontId="4" fillId="0" borderId="13" xfId="39" applyNumberFormat="1" applyFont="1" applyBorder="1" applyAlignment="1">
      <alignment horizontal="center" vertical="center" wrapText="1"/>
    </xf>
    <xf numFmtId="187" fontId="4" fillId="0" borderId="21" xfId="39" applyNumberFormat="1" applyFont="1" applyBorder="1" applyAlignment="1">
      <alignment horizontal="center" vertical="center" wrapText="1"/>
    </xf>
    <xf numFmtId="187" fontId="4" fillId="0" borderId="11" xfId="39" applyNumberFormat="1" applyFont="1" applyBorder="1" applyAlignment="1">
      <alignment horizontal="center" vertical="center" wrapText="1"/>
    </xf>
    <xf numFmtId="43" fontId="4" fillId="0" borderId="13" xfId="39" applyFont="1" applyBorder="1" applyAlignment="1">
      <alignment horizontal="center" vertical="center" wrapText="1"/>
    </xf>
    <xf numFmtId="43" fontId="4" fillId="0" borderId="21" xfId="39" applyFont="1" applyBorder="1" applyAlignment="1">
      <alignment horizontal="center" vertical="center" wrapText="1"/>
    </xf>
    <xf numFmtId="43" fontId="4" fillId="0" borderId="11" xfId="39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52" fillId="0" borderId="30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30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59" fontId="3" fillId="0" borderId="13" xfId="0" applyNumberFormat="1" applyFont="1" applyFill="1" applyBorder="1" applyAlignment="1">
      <alignment horizontal="center"/>
    </xf>
    <xf numFmtId="59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 quotePrefix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 quotePrefix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59" fontId="3" fillId="0" borderId="10" xfId="0" applyNumberFormat="1" applyFont="1" applyFill="1" applyBorder="1" applyAlignment="1">
      <alignment horizontal="center"/>
    </xf>
    <xf numFmtId="59" fontId="3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 quotePrefix="1">
      <alignment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5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59" fontId="7" fillId="0" borderId="11" xfId="0" applyNumberFormat="1" applyFont="1" applyBorder="1" applyAlignment="1">
      <alignment horizontal="center"/>
    </xf>
    <xf numFmtId="59" fontId="7" fillId="0" borderId="10" xfId="0" applyNumberFormat="1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60" fontId="4" fillId="0" borderId="10" xfId="0" applyNumberFormat="1" applyFont="1" applyFill="1" applyBorder="1" applyAlignment="1">
      <alignment horizontal="left" wrapText="1"/>
    </xf>
    <xf numFmtId="59" fontId="7" fillId="0" borderId="10" xfId="0" applyNumberFormat="1" applyFont="1" applyBorder="1" applyAlignment="1">
      <alignment horizontal="center"/>
    </xf>
    <xf numFmtId="59" fontId="4" fillId="0" borderId="10" xfId="0" applyNumberFormat="1" applyFont="1" applyFill="1" applyBorder="1" applyAlignment="1">
      <alignment horizontal="center"/>
    </xf>
    <xf numFmtId="59" fontId="3" fillId="0" borderId="10" xfId="0" applyNumberFormat="1" applyFont="1" applyFill="1" applyBorder="1" applyAlignment="1">
      <alignment/>
    </xf>
    <xf numFmtId="60" fontId="4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60" fontId="4" fillId="0" borderId="11" xfId="0" applyNumberFormat="1" applyFont="1" applyFill="1" applyBorder="1" applyAlignment="1" quotePrefix="1">
      <alignment horizontal="left" wrapText="1"/>
    </xf>
    <xf numFmtId="0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quotePrefix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59" fontId="4" fillId="0" borderId="11" xfId="0" applyNumberFormat="1" applyFont="1" applyFill="1" applyBorder="1" applyAlignment="1" quotePrefix="1">
      <alignment horizontal="center"/>
    </xf>
    <xf numFmtId="0" fontId="3" fillId="0" borderId="11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 quotePrefix="1">
      <alignment horizontal="center" vertical="center"/>
    </xf>
    <xf numFmtId="3" fontId="3" fillId="0" borderId="11" xfId="0" applyNumberFormat="1" applyFont="1" applyFill="1" applyBorder="1" applyAlignment="1" quotePrefix="1">
      <alignment horizontal="center"/>
    </xf>
    <xf numFmtId="3" fontId="4" fillId="0" borderId="11" xfId="0" applyNumberFormat="1" applyFont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/>
    </xf>
    <xf numFmtId="0" fontId="4" fillId="0" borderId="31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59" fontId="4" fillId="0" borderId="31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4" fillId="0" borderId="3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 quotePrefix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59" fontId="3" fillId="0" borderId="11" xfId="0" applyNumberFormat="1" applyFont="1" applyFill="1" applyBorder="1" applyAlignment="1" quotePrefix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 quotePrefix="1">
      <alignment horizontal="center" vertical="top"/>
    </xf>
    <xf numFmtId="0" fontId="3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 quotePrefix="1">
      <alignment horizontal="center" vertical="top"/>
    </xf>
    <xf numFmtId="0" fontId="3" fillId="0" borderId="1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 quotePrefix="1">
      <alignment horizontal="center"/>
    </xf>
    <xf numFmtId="0" fontId="4" fillId="36" borderId="10" xfId="0" applyFont="1" applyFill="1" applyBorder="1" applyAlignment="1">
      <alignment wrapText="1"/>
    </xf>
    <xf numFmtId="0" fontId="3" fillId="36" borderId="0" xfId="0" applyNumberFormat="1" applyFont="1" applyFill="1" applyAlignment="1">
      <alignment/>
    </xf>
    <xf numFmtId="0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 quotePrefix="1">
      <alignment horizontal="center"/>
    </xf>
    <xf numFmtId="0" fontId="3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/>
    </xf>
    <xf numFmtId="0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quotePrefix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 quotePrefix="1">
      <alignment/>
      <protection locked="0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/>
      <protection locked="0"/>
    </xf>
    <xf numFmtId="3" fontId="4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NumberFormat="1" applyFont="1" applyBorder="1" applyAlignment="1" quotePrefix="1">
      <alignment horizontal="center"/>
    </xf>
    <xf numFmtId="0" fontId="3" fillId="0" borderId="32" xfId="0" applyFont="1" applyBorder="1" applyAlignment="1" applyProtection="1">
      <alignment/>
      <protection locked="0"/>
    </xf>
    <xf numFmtId="0" fontId="3" fillId="34" borderId="32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2" xfId="0" applyNumberFormat="1" applyFont="1" applyBorder="1" applyAlignment="1">
      <alignment/>
    </xf>
    <xf numFmtId="0" fontId="4" fillId="33" borderId="31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>
      <alignment/>
    </xf>
    <xf numFmtId="0" fontId="3" fillId="0" borderId="31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3" fontId="3" fillId="0" borderId="0" xfId="0" applyNumberFormat="1" applyFont="1" applyBorder="1" applyAlignment="1">
      <alignment horizontal="center" vertical="center"/>
    </xf>
    <xf numFmtId="60" fontId="3" fillId="0" borderId="10" xfId="0" applyNumberFormat="1" applyFont="1" applyBorder="1" applyAlignment="1" quotePrefix="1">
      <alignment horizontal="left" wrapText="1"/>
    </xf>
    <xf numFmtId="3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60" fontId="3" fillId="0" borderId="10" xfId="0" applyNumberFormat="1" applyFont="1" applyBorder="1" applyAlignment="1" quotePrefix="1">
      <alignment horizontal="left" vertical="top" wrapText="1"/>
    </xf>
    <xf numFmtId="4" fontId="4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 quotePrefix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/>
    </xf>
    <xf numFmtId="0" fontId="32" fillId="0" borderId="33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32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11;&#3619;&#3632;&#3592;&#3635;&#3648;&#3604;&#3639;&#3629;&#3609;&#3611;&#3637;&#3591;&#3611;&#3617;58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พ.ค."/>
      <sheetName val="เม.ย."/>
      <sheetName val="มี.ค."/>
      <sheetName val="ก.พ."/>
      <sheetName val="ม.ค."/>
      <sheetName val="ธ.ค."/>
      <sheetName val="พ.ย."/>
      <sheetName val="ต.ค."/>
      <sheetName val="Sheet1"/>
    </sheetNames>
    <sheetDataSet>
      <sheetData sheetId="1">
        <row r="10">
          <cell r="N10">
            <v>54</v>
          </cell>
          <cell r="O10">
            <v>38</v>
          </cell>
          <cell r="P10">
            <v>92</v>
          </cell>
        </row>
        <row r="11">
          <cell r="N11">
            <v>250</v>
          </cell>
          <cell r="O11">
            <v>679</v>
          </cell>
          <cell r="P11">
            <v>929</v>
          </cell>
        </row>
        <row r="12">
          <cell r="N12">
            <v>156</v>
          </cell>
          <cell r="O12">
            <v>459</v>
          </cell>
          <cell r="P12">
            <v>615</v>
          </cell>
        </row>
        <row r="13">
          <cell r="N13">
            <v>94</v>
          </cell>
          <cell r="O13">
            <v>220</v>
          </cell>
          <cell r="P13">
            <v>314</v>
          </cell>
        </row>
        <row r="14">
          <cell r="N14">
            <v>15</v>
          </cell>
          <cell r="O14">
            <v>18</v>
          </cell>
          <cell r="P14">
            <v>33</v>
          </cell>
        </row>
        <row r="15">
          <cell r="N15">
            <v>0</v>
          </cell>
          <cell r="O15">
            <v>33</v>
          </cell>
          <cell r="P15">
            <v>33</v>
          </cell>
        </row>
        <row r="16">
          <cell r="N16">
            <v>29</v>
          </cell>
          <cell r="O16">
            <v>4</v>
          </cell>
          <cell r="P16">
            <v>33</v>
          </cell>
        </row>
        <row r="17">
          <cell r="N17">
            <v>0</v>
          </cell>
          <cell r="O17">
            <v>33</v>
          </cell>
          <cell r="P17">
            <v>33</v>
          </cell>
        </row>
        <row r="18">
          <cell r="N18">
            <v>0</v>
          </cell>
          <cell r="O18">
            <v>33</v>
          </cell>
          <cell r="P18">
            <v>33</v>
          </cell>
        </row>
        <row r="19">
          <cell r="N19">
            <v>2</v>
          </cell>
          <cell r="O19">
            <v>32</v>
          </cell>
          <cell r="P19">
            <v>34</v>
          </cell>
        </row>
        <row r="20">
          <cell r="N20">
            <v>20</v>
          </cell>
          <cell r="O20">
            <v>13</v>
          </cell>
          <cell r="P20">
            <v>33</v>
          </cell>
        </row>
        <row r="21">
          <cell r="N21">
            <v>13</v>
          </cell>
          <cell r="O21">
            <v>22</v>
          </cell>
          <cell r="P21">
            <v>35</v>
          </cell>
        </row>
        <row r="22">
          <cell r="N22">
            <v>9</v>
          </cell>
          <cell r="O22">
            <v>24</v>
          </cell>
          <cell r="P22">
            <v>33</v>
          </cell>
        </row>
        <row r="23">
          <cell r="N23">
            <v>6</v>
          </cell>
          <cell r="O23">
            <v>8</v>
          </cell>
          <cell r="P23">
            <v>14</v>
          </cell>
        </row>
        <row r="24">
          <cell r="N24">
            <v>88</v>
          </cell>
          <cell r="O24">
            <v>94</v>
          </cell>
          <cell r="P24">
            <v>182</v>
          </cell>
        </row>
        <row r="25">
          <cell r="N25">
            <v>88</v>
          </cell>
          <cell r="O25">
            <v>94</v>
          </cell>
          <cell r="P25">
            <v>182</v>
          </cell>
        </row>
        <row r="26">
          <cell r="N26">
            <v>173</v>
          </cell>
          <cell r="O26">
            <v>261</v>
          </cell>
          <cell r="P26">
            <v>434</v>
          </cell>
        </row>
        <row r="27">
          <cell r="N27">
            <v>68</v>
          </cell>
          <cell r="O27">
            <v>67</v>
          </cell>
          <cell r="P27">
            <v>135</v>
          </cell>
        </row>
        <row r="28">
          <cell r="N28">
            <v>25</v>
          </cell>
          <cell r="O28">
            <v>79</v>
          </cell>
          <cell r="P28">
            <v>104</v>
          </cell>
        </row>
        <row r="29">
          <cell r="N29">
            <v>80</v>
          </cell>
          <cell r="O29">
            <v>115</v>
          </cell>
          <cell r="P29">
            <v>195</v>
          </cell>
        </row>
        <row r="30">
          <cell r="N30">
            <v>412</v>
          </cell>
          <cell r="O30">
            <v>545</v>
          </cell>
          <cell r="P30">
            <v>957</v>
          </cell>
        </row>
        <row r="31">
          <cell r="N31">
            <v>42</v>
          </cell>
          <cell r="O31">
            <v>60</v>
          </cell>
          <cell r="P31">
            <v>102</v>
          </cell>
        </row>
        <row r="32">
          <cell r="N32">
            <v>228</v>
          </cell>
          <cell r="O32">
            <v>318</v>
          </cell>
          <cell r="P32">
            <v>546</v>
          </cell>
        </row>
        <row r="33">
          <cell r="N33">
            <v>142</v>
          </cell>
          <cell r="O33">
            <v>167</v>
          </cell>
          <cell r="P33">
            <v>309</v>
          </cell>
        </row>
        <row r="34">
          <cell r="N34">
            <v>742</v>
          </cell>
          <cell r="O34">
            <v>1288</v>
          </cell>
          <cell r="P34">
            <v>2030</v>
          </cell>
        </row>
        <row r="36">
          <cell r="N36">
            <v>24</v>
          </cell>
          <cell r="O36">
            <v>22</v>
          </cell>
          <cell r="P36">
            <v>46</v>
          </cell>
        </row>
        <row r="37">
          <cell r="N37">
            <v>24</v>
          </cell>
          <cell r="O37">
            <v>22</v>
          </cell>
          <cell r="P37">
            <v>46</v>
          </cell>
        </row>
        <row r="50">
          <cell r="N50">
            <v>28316</v>
          </cell>
          <cell r="O50">
            <v>28190</v>
          </cell>
          <cell r="P50">
            <v>56506</v>
          </cell>
        </row>
        <row r="51">
          <cell r="N51">
            <v>2361</v>
          </cell>
          <cell r="O51">
            <v>2737</v>
          </cell>
          <cell r="P51">
            <v>5098</v>
          </cell>
        </row>
        <row r="52">
          <cell r="N52">
            <v>8567</v>
          </cell>
          <cell r="O52">
            <v>8881</v>
          </cell>
          <cell r="P52">
            <v>17448</v>
          </cell>
        </row>
        <row r="53">
          <cell r="N53">
            <v>256</v>
          </cell>
          <cell r="O53">
            <v>349</v>
          </cell>
          <cell r="P53">
            <v>605</v>
          </cell>
        </row>
        <row r="54">
          <cell r="N54">
            <v>856</v>
          </cell>
          <cell r="O54">
            <v>1035</v>
          </cell>
          <cell r="P54">
            <v>1891</v>
          </cell>
        </row>
        <row r="55">
          <cell r="N55">
            <v>102</v>
          </cell>
          <cell r="O55">
            <v>99</v>
          </cell>
          <cell r="P55">
            <v>201</v>
          </cell>
        </row>
        <row r="57">
          <cell r="N57">
            <v>5282</v>
          </cell>
          <cell r="O57">
            <v>5664</v>
          </cell>
          <cell r="P57">
            <v>10946</v>
          </cell>
        </row>
        <row r="58">
          <cell r="N58">
            <v>2200</v>
          </cell>
          <cell r="O58">
            <v>2288</v>
          </cell>
          <cell r="P58">
            <v>4488</v>
          </cell>
        </row>
        <row r="59">
          <cell r="N59">
            <v>2211</v>
          </cell>
          <cell r="O59">
            <v>2342</v>
          </cell>
          <cell r="P59">
            <v>4553</v>
          </cell>
        </row>
        <row r="60">
          <cell r="N60">
            <v>871</v>
          </cell>
          <cell r="O60">
            <v>1034</v>
          </cell>
          <cell r="P60">
            <v>1905</v>
          </cell>
        </row>
        <row r="61">
          <cell r="N61">
            <v>9887</v>
          </cell>
          <cell r="O61">
            <v>10138</v>
          </cell>
          <cell r="P61">
            <v>20025</v>
          </cell>
        </row>
        <row r="62">
          <cell r="N62">
            <v>9887</v>
          </cell>
          <cell r="O62">
            <v>10138</v>
          </cell>
          <cell r="P62">
            <v>20025</v>
          </cell>
        </row>
        <row r="65">
          <cell r="N65">
            <v>264</v>
          </cell>
          <cell r="O65">
            <v>225</v>
          </cell>
          <cell r="P65">
            <v>489</v>
          </cell>
        </row>
        <row r="66">
          <cell r="N66">
            <v>491</v>
          </cell>
          <cell r="O66">
            <v>418</v>
          </cell>
          <cell r="P66">
            <v>909</v>
          </cell>
        </row>
        <row r="67">
          <cell r="N67">
            <v>78</v>
          </cell>
          <cell r="O67">
            <v>102</v>
          </cell>
          <cell r="P67">
            <v>180</v>
          </cell>
        </row>
        <row r="68">
          <cell r="N68">
            <v>33</v>
          </cell>
          <cell r="O68">
            <v>30</v>
          </cell>
          <cell r="P68">
            <v>63</v>
          </cell>
        </row>
        <row r="69">
          <cell r="N69">
            <v>126</v>
          </cell>
          <cell r="O69">
            <v>77</v>
          </cell>
          <cell r="P69">
            <v>203</v>
          </cell>
        </row>
        <row r="70">
          <cell r="N70">
            <v>22</v>
          </cell>
          <cell r="O70">
            <v>28</v>
          </cell>
          <cell r="P70">
            <v>50</v>
          </cell>
        </row>
        <row r="71">
          <cell r="N71">
            <v>232</v>
          </cell>
          <cell r="O71">
            <v>181</v>
          </cell>
          <cell r="P71">
            <v>413</v>
          </cell>
        </row>
        <row r="72">
          <cell r="N72">
            <v>534</v>
          </cell>
          <cell r="O72">
            <v>322</v>
          </cell>
          <cell r="P72">
            <v>856</v>
          </cell>
        </row>
        <row r="73">
          <cell r="N73">
            <v>33</v>
          </cell>
          <cell r="O73">
            <v>21</v>
          </cell>
          <cell r="P73">
            <v>54</v>
          </cell>
        </row>
        <row r="74">
          <cell r="N74">
            <v>264</v>
          </cell>
          <cell r="O74">
            <v>152</v>
          </cell>
          <cell r="P74">
            <v>416</v>
          </cell>
        </row>
        <row r="75">
          <cell r="N75">
            <v>237</v>
          </cell>
          <cell r="O75">
            <v>149</v>
          </cell>
          <cell r="P75">
            <v>386</v>
          </cell>
        </row>
        <row r="76">
          <cell r="N76">
            <v>53</v>
          </cell>
          <cell r="O76">
            <v>36</v>
          </cell>
          <cell r="P76">
            <v>89</v>
          </cell>
        </row>
        <row r="77">
          <cell r="N77">
            <v>1</v>
          </cell>
          <cell r="O77">
            <v>0</v>
          </cell>
          <cell r="P77">
            <v>1</v>
          </cell>
        </row>
        <row r="78">
          <cell r="N78">
            <v>19</v>
          </cell>
          <cell r="O78">
            <v>15</v>
          </cell>
          <cell r="P78">
            <v>34</v>
          </cell>
        </row>
        <row r="79">
          <cell r="N79">
            <v>33</v>
          </cell>
          <cell r="O79">
            <v>21</v>
          </cell>
          <cell r="P79">
            <v>54</v>
          </cell>
        </row>
        <row r="80">
          <cell r="N80">
            <v>2</v>
          </cell>
          <cell r="O80">
            <v>0</v>
          </cell>
          <cell r="P80">
            <v>2</v>
          </cell>
        </row>
        <row r="81">
          <cell r="N81">
            <v>21</v>
          </cell>
          <cell r="O81">
            <v>19</v>
          </cell>
          <cell r="P81">
            <v>40</v>
          </cell>
        </row>
        <row r="82">
          <cell r="N82">
            <v>5</v>
          </cell>
          <cell r="O82">
            <v>1</v>
          </cell>
          <cell r="P82">
            <v>6</v>
          </cell>
        </row>
      </sheetData>
      <sheetData sheetId="2">
        <row r="10">
          <cell r="U10">
            <v>22000</v>
          </cell>
        </row>
        <row r="11">
          <cell r="U11">
            <v>233999.75</v>
          </cell>
        </row>
        <row r="24">
          <cell r="U24">
            <v>16100</v>
          </cell>
        </row>
        <row r="27">
          <cell r="U27">
            <v>72000</v>
          </cell>
        </row>
        <row r="31">
          <cell r="U31">
            <v>32000</v>
          </cell>
        </row>
        <row r="37">
          <cell r="U37">
            <v>95000</v>
          </cell>
        </row>
        <row r="50">
          <cell r="U50">
            <v>32110</v>
          </cell>
        </row>
        <row r="62">
          <cell r="U62">
            <v>143480</v>
          </cell>
        </row>
        <row r="66">
          <cell r="U66">
            <v>169621</v>
          </cell>
        </row>
        <row r="67">
          <cell r="U67">
            <v>193080</v>
          </cell>
        </row>
        <row r="68">
          <cell r="U68">
            <v>54160</v>
          </cell>
        </row>
        <row r="72">
          <cell r="U72">
            <v>624280.45</v>
          </cell>
        </row>
        <row r="80">
          <cell r="U80">
            <v>0</v>
          </cell>
        </row>
        <row r="81">
          <cell r="U81">
            <v>28500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view="pageBreakPreview" zoomScale="78" zoomScaleSheetLayoutView="78" zoomScalePageLayoutView="0" workbookViewId="0" topLeftCell="A1">
      <selection activeCell="A10" sqref="A10"/>
    </sheetView>
  </sheetViews>
  <sheetFormatPr defaultColWidth="6.57421875" defaultRowHeight="15"/>
  <cols>
    <col min="1" max="1" width="42.421875" style="1" customWidth="1"/>
    <col min="2" max="2" width="8.8515625" style="1" customWidth="1"/>
    <col min="3" max="3" width="8.57421875" style="2" customWidth="1"/>
    <col min="4" max="4" width="8.140625" style="2" bestFit="1" customWidth="1"/>
    <col min="5" max="5" width="9.140625" style="2" customWidth="1"/>
    <col min="6" max="6" width="7.00390625" style="2" customWidth="1"/>
    <col min="7" max="7" width="6.00390625" style="2" bestFit="1" customWidth="1"/>
    <col min="8" max="8" width="5.7109375" style="2" customWidth="1"/>
    <col min="9" max="13" width="6.00390625" style="2" bestFit="1" customWidth="1"/>
    <col min="14" max="14" width="8.421875" style="4" bestFit="1" customWidth="1"/>
    <col min="15" max="15" width="9.421875" style="4" bestFit="1" customWidth="1"/>
    <col min="16" max="16" width="7.421875" style="4" customWidth="1"/>
    <col min="17" max="18" width="10.140625" style="1" customWidth="1"/>
    <col min="19" max="19" width="12.421875" style="1" customWidth="1"/>
    <col min="20" max="20" width="12.421875" style="1" bestFit="1" customWidth="1"/>
    <col min="21" max="21" width="11.57421875" style="1" bestFit="1" customWidth="1"/>
    <col min="22" max="22" width="10.140625" style="1" customWidth="1"/>
    <col min="23" max="16384" width="6.57421875" style="1" customWidth="1"/>
  </cols>
  <sheetData>
    <row r="1" ht="21">
      <c r="N1" s="3"/>
    </row>
    <row r="2" spans="1:22" ht="23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</row>
    <row r="3" spans="1:22" ht="23.25">
      <c r="A3" s="325" t="s">
        <v>1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</row>
    <row r="4" spans="1:21" ht="23.25">
      <c r="A4" s="326" t="s">
        <v>2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spans="1:24" s="6" customFormat="1" ht="48" customHeight="1">
      <c r="A5" s="327" t="s">
        <v>3</v>
      </c>
      <c r="B5" s="328" t="s">
        <v>4</v>
      </c>
      <c r="C5" s="331" t="s">
        <v>5</v>
      </c>
      <c r="D5" s="332"/>
      <c r="E5" s="333"/>
      <c r="F5" s="331" t="s">
        <v>6</v>
      </c>
      <c r="G5" s="332"/>
      <c r="H5" s="332"/>
      <c r="I5" s="332"/>
      <c r="J5" s="332"/>
      <c r="K5" s="332"/>
      <c r="L5" s="332"/>
      <c r="M5" s="333"/>
      <c r="N5" s="331" t="s">
        <v>7</v>
      </c>
      <c r="O5" s="332"/>
      <c r="P5" s="333"/>
      <c r="Q5" s="328" t="s">
        <v>8</v>
      </c>
      <c r="R5" s="328" t="s">
        <v>9</v>
      </c>
      <c r="S5" s="328" t="s">
        <v>10</v>
      </c>
      <c r="T5" s="328" t="s">
        <v>11</v>
      </c>
      <c r="U5" s="328" t="s">
        <v>12</v>
      </c>
      <c r="V5" s="328" t="s">
        <v>13</v>
      </c>
      <c r="W5" s="5"/>
      <c r="X5" s="5"/>
    </row>
    <row r="6" spans="1:24" s="6" customFormat="1" ht="28.5" customHeight="1">
      <c r="A6" s="327"/>
      <c r="B6" s="329"/>
      <c r="C6" s="334"/>
      <c r="D6" s="335"/>
      <c r="E6" s="336"/>
      <c r="F6" s="343" t="s">
        <v>14</v>
      </c>
      <c r="G6" s="343"/>
      <c r="H6" s="343" t="s">
        <v>15</v>
      </c>
      <c r="I6" s="343"/>
      <c r="J6" s="343" t="s">
        <v>16</v>
      </c>
      <c r="K6" s="343"/>
      <c r="L6" s="343" t="s">
        <v>17</v>
      </c>
      <c r="M6" s="343"/>
      <c r="N6" s="337"/>
      <c r="O6" s="338"/>
      <c r="P6" s="339"/>
      <c r="Q6" s="329"/>
      <c r="R6" s="329"/>
      <c r="S6" s="329"/>
      <c r="T6" s="329"/>
      <c r="U6" s="329"/>
      <c r="V6" s="329"/>
      <c r="W6" s="5"/>
      <c r="X6" s="5"/>
    </row>
    <row r="7" spans="1:22" s="6" customFormat="1" ht="24" customHeight="1">
      <c r="A7" s="327"/>
      <c r="B7" s="330"/>
      <c r="C7" s="7" t="s">
        <v>18</v>
      </c>
      <c r="D7" s="7" t="s">
        <v>19</v>
      </c>
      <c r="E7" s="8" t="s">
        <v>20</v>
      </c>
      <c r="F7" s="7" t="s">
        <v>18</v>
      </c>
      <c r="G7" s="7" t="s">
        <v>19</v>
      </c>
      <c r="H7" s="7" t="s">
        <v>18</v>
      </c>
      <c r="I7" s="7" t="s">
        <v>19</v>
      </c>
      <c r="J7" s="7" t="s">
        <v>18</v>
      </c>
      <c r="K7" s="7" t="s">
        <v>19</v>
      </c>
      <c r="L7" s="7" t="s">
        <v>18</v>
      </c>
      <c r="M7" s="7" t="s">
        <v>19</v>
      </c>
      <c r="N7" s="7" t="s">
        <v>18</v>
      </c>
      <c r="O7" s="7" t="s">
        <v>19</v>
      </c>
      <c r="P7" s="7" t="s">
        <v>21</v>
      </c>
      <c r="Q7" s="330"/>
      <c r="R7" s="330"/>
      <c r="S7" s="330"/>
      <c r="T7" s="330"/>
      <c r="U7" s="330"/>
      <c r="V7" s="330"/>
    </row>
    <row r="8" spans="1:22" s="6" customFormat="1" ht="24" customHeight="1">
      <c r="A8" s="9" t="s">
        <v>22</v>
      </c>
      <c r="B8" s="340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2"/>
    </row>
    <row r="9" spans="1:22" s="14" customFormat="1" ht="26.25" customHeight="1">
      <c r="A9" s="10" t="s">
        <v>23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  <c r="R9" s="13"/>
      <c r="S9" s="13"/>
      <c r="T9" s="13"/>
      <c r="U9" s="13"/>
      <c r="V9" s="13"/>
    </row>
    <row r="10" spans="1:22" s="4" customFormat="1" ht="21">
      <c r="A10" s="15" t="s">
        <v>24</v>
      </c>
      <c r="B10" s="16">
        <v>90</v>
      </c>
      <c r="C10" s="17">
        <f>'[1]เม.ย.'!N10</f>
        <v>54</v>
      </c>
      <c r="D10" s="17">
        <f>'[1]เม.ย.'!O10</f>
        <v>38</v>
      </c>
      <c r="E10" s="17">
        <f>'[1]เม.ย.'!P10</f>
        <v>92</v>
      </c>
      <c r="F10" s="16"/>
      <c r="G10" s="16"/>
      <c r="H10" s="16"/>
      <c r="I10" s="16"/>
      <c r="J10" s="16"/>
      <c r="K10" s="16"/>
      <c r="L10" s="16"/>
      <c r="M10" s="16"/>
      <c r="N10" s="16">
        <f>C10+F10+H10+J10+L10</f>
        <v>54</v>
      </c>
      <c r="O10" s="16">
        <f>D10+G10+I10+K10+M10</f>
        <v>38</v>
      </c>
      <c r="P10" s="16">
        <f>SUM(N10:O10)</f>
        <v>92</v>
      </c>
      <c r="Q10" s="18">
        <f>P10/B10*100</f>
        <v>102.22222222222221</v>
      </c>
      <c r="R10" s="19">
        <v>44000</v>
      </c>
      <c r="S10" s="19">
        <f>'[1]มี.ค.'!U10</f>
        <v>22000</v>
      </c>
      <c r="T10" s="19">
        <v>18801</v>
      </c>
      <c r="U10" s="20">
        <f>S10+T10</f>
        <v>40801</v>
      </c>
      <c r="V10" s="18">
        <f>U10/R10*100</f>
        <v>92.72954545454546</v>
      </c>
    </row>
    <row r="11" spans="1:22" s="4" customFormat="1" ht="21">
      <c r="A11" s="21" t="s">
        <v>25</v>
      </c>
      <c r="B11" s="17">
        <f>SUM(B12:B13)</f>
        <v>1170</v>
      </c>
      <c r="C11" s="17">
        <f>'[1]เม.ย.'!N11</f>
        <v>250</v>
      </c>
      <c r="D11" s="17">
        <f>'[1]เม.ย.'!O11</f>
        <v>679</v>
      </c>
      <c r="E11" s="17">
        <f>'[1]เม.ย.'!P11</f>
        <v>929</v>
      </c>
      <c r="F11" s="16"/>
      <c r="G11" s="16"/>
      <c r="H11" s="16"/>
      <c r="I11" s="16"/>
      <c r="J11" s="16"/>
      <c r="K11" s="16"/>
      <c r="L11" s="16"/>
      <c r="M11" s="16"/>
      <c r="N11" s="16">
        <f>SUM(N12:N13)</f>
        <v>250</v>
      </c>
      <c r="O11" s="16">
        <f>SUM(O12:O13)</f>
        <v>679</v>
      </c>
      <c r="P11" s="16">
        <f>SUM(P12:P13)</f>
        <v>929</v>
      </c>
      <c r="Q11" s="18">
        <f>P11/B11*100</f>
        <v>79.4017094017094</v>
      </c>
      <c r="R11" s="19">
        <v>478800</v>
      </c>
      <c r="S11" s="22">
        <f>'[1]มี.ค.'!U11</f>
        <v>233999.75</v>
      </c>
      <c r="T11" s="23">
        <v>23452</v>
      </c>
      <c r="U11" s="24">
        <f>S11+T11</f>
        <v>257451.75</v>
      </c>
      <c r="V11" s="18">
        <f>U11/R11*100</f>
        <v>53.7702067669173</v>
      </c>
    </row>
    <row r="12" spans="1:22" s="2" customFormat="1" ht="21">
      <c r="A12" s="25" t="s">
        <v>26</v>
      </c>
      <c r="B12" s="26">
        <v>585</v>
      </c>
      <c r="C12" s="17">
        <f>'[1]เม.ย.'!N12</f>
        <v>156</v>
      </c>
      <c r="D12" s="17">
        <f>'[1]เม.ย.'!O12</f>
        <v>459</v>
      </c>
      <c r="E12" s="17">
        <f>'[1]เม.ย.'!P12</f>
        <v>615</v>
      </c>
      <c r="F12" s="26"/>
      <c r="G12" s="26"/>
      <c r="H12" s="26"/>
      <c r="I12" s="26"/>
      <c r="J12" s="26"/>
      <c r="K12" s="26"/>
      <c r="L12" s="26"/>
      <c r="M12" s="26"/>
      <c r="N12" s="16">
        <f>C12+F12+H12+J12+L12</f>
        <v>156</v>
      </c>
      <c r="O12" s="16">
        <f>D12+G12+I12+K12+M12</f>
        <v>459</v>
      </c>
      <c r="P12" s="16">
        <f aca="true" t="shared" si="0" ref="P12:P23">SUM(N12:O12)</f>
        <v>615</v>
      </c>
      <c r="Q12" s="27">
        <f>P12/B12*100</f>
        <v>105.12820512820514</v>
      </c>
      <c r="R12" s="28"/>
      <c r="S12" s="19">
        <f>'[1]มี.ค.'!U12</f>
        <v>0</v>
      </c>
      <c r="T12" s="29"/>
      <c r="U12" s="30"/>
      <c r="V12" s="27"/>
    </row>
    <row r="13" spans="1:22" s="2" customFormat="1" ht="21">
      <c r="A13" s="31" t="s">
        <v>27</v>
      </c>
      <c r="B13" s="26">
        <v>585</v>
      </c>
      <c r="C13" s="17">
        <f>'[1]เม.ย.'!N13</f>
        <v>94</v>
      </c>
      <c r="D13" s="17">
        <f>'[1]เม.ย.'!O13</f>
        <v>220</v>
      </c>
      <c r="E13" s="17">
        <f>'[1]เม.ย.'!P13</f>
        <v>314</v>
      </c>
      <c r="F13" s="26"/>
      <c r="G13" s="26"/>
      <c r="H13" s="26"/>
      <c r="I13" s="26"/>
      <c r="J13" s="26"/>
      <c r="K13" s="26"/>
      <c r="L13" s="26"/>
      <c r="M13" s="26"/>
      <c r="N13" s="16">
        <f>C13+F13+H13+J13+L13</f>
        <v>94</v>
      </c>
      <c r="O13" s="16">
        <f aca="true" t="shared" si="1" ref="N13:O23">D13+G13+I13+K13+M13</f>
        <v>220</v>
      </c>
      <c r="P13" s="16">
        <f>SUM(N13:O13)</f>
        <v>314</v>
      </c>
      <c r="Q13" s="27">
        <f>P13/B13*100</f>
        <v>53.675213675213676</v>
      </c>
      <c r="R13" s="28"/>
      <c r="S13" s="19">
        <f>'[1]มี.ค.'!U13</f>
        <v>0</v>
      </c>
      <c r="T13" s="26"/>
      <c r="U13" s="26"/>
      <c r="V13" s="26"/>
    </row>
    <row r="14" spans="1:22" s="2" customFormat="1" ht="21">
      <c r="A14" s="31" t="s">
        <v>28</v>
      </c>
      <c r="B14" s="26"/>
      <c r="C14" s="17">
        <f>'[1]เม.ย.'!N14</f>
        <v>15</v>
      </c>
      <c r="D14" s="17">
        <f>'[1]เม.ย.'!O14</f>
        <v>18</v>
      </c>
      <c r="E14" s="17">
        <f>'[1]เม.ย.'!P14</f>
        <v>33</v>
      </c>
      <c r="F14" s="26"/>
      <c r="G14" s="26"/>
      <c r="H14" s="26"/>
      <c r="I14" s="26"/>
      <c r="J14" s="26"/>
      <c r="K14" s="26"/>
      <c r="L14" s="26"/>
      <c r="M14" s="26"/>
      <c r="N14" s="16">
        <f>C14+F14+H14+J14+L14</f>
        <v>15</v>
      </c>
      <c r="O14" s="16">
        <f t="shared" si="1"/>
        <v>18</v>
      </c>
      <c r="P14" s="16">
        <f t="shared" si="0"/>
        <v>33</v>
      </c>
      <c r="Q14" s="27"/>
      <c r="R14" s="28"/>
      <c r="S14" s="19">
        <f>'[1]มี.ค.'!U14</f>
        <v>0</v>
      </c>
      <c r="T14" s="26"/>
      <c r="U14" s="26"/>
      <c r="V14" s="26"/>
    </row>
    <row r="15" spans="1:22" s="2" customFormat="1" ht="21">
      <c r="A15" s="31" t="s">
        <v>29</v>
      </c>
      <c r="B15" s="26"/>
      <c r="C15" s="17">
        <f>'[1]เม.ย.'!N15</f>
        <v>0</v>
      </c>
      <c r="D15" s="17">
        <f>'[1]เม.ย.'!O15</f>
        <v>33</v>
      </c>
      <c r="E15" s="17">
        <f>'[1]เม.ย.'!P15</f>
        <v>33</v>
      </c>
      <c r="F15" s="26"/>
      <c r="G15" s="26"/>
      <c r="H15" s="26"/>
      <c r="I15" s="26"/>
      <c r="J15" s="26"/>
      <c r="K15" s="26"/>
      <c r="L15" s="26"/>
      <c r="M15" s="26"/>
      <c r="N15" s="16">
        <f t="shared" si="1"/>
        <v>0</v>
      </c>
      <c r="O15" s="16">
        <f t="shared" si="1"/>
        <v>33</v>
      </c>
      <c r="P15" s="16">
        <f t="shared" si="0"/>
        <v>33</v>
      </c>
      <c r="Q15" s="27"/>
      <c r="R15" s="28"/>
      <c r="S15" s="19">
        <f>'[1]มี.ค.'!U15</f>
        <v>0</v>
      </c>
      <c r="T15" s="26"/>
      <c r="U15" s="26"/>
      <c r="V15" s="26"/>
    </row>
    <row r="16" spans="1:22" s="2" customFormat="1" ht="21">
      <c r="A16" s="31" t="s">
        <v>30</v>
      </c>
      <c r="B16" s="26"/>
      <c r="C16" s="17">
        <f>'[1]เม.ย.'!N16</f>
        <v>29</v>
      </c>
      <c r="D16" s="17">
        <f>'[1]เม.ย.'!O16</f>
        <v>4</v>
      </c>
      <c r="E16" s="17">
        <f>'[1]เม.ย.'!P16</f>
        <v>33</v>
      </c>
      <c r="F16" s="26"/>
      <c r="G16" s="26"/>
      <c r="H16" s="26"/>
      <c r="I16" s="26"/>
      <c r="J16" s="26"/>
      <c r="K16" s="26"/>
      <c r="L16" s="26"/>
      <c r="M16" s="26"/>
      <c r="N16" s="16">
        <f t="shared" si="1"/>
        <v>29</v>
      </c>
      <c r="O16" s="16">
        <f t="shared" si="1"/>
        <v>4</v>
      </c>
      <c r="P16" s="16">
        <f t="shared" si="0"/>
        <v>33</v>
      </c>
      <c r="Q16" s="27"/>
      <c r="R16" s="28"/>
      <c r="S16" s="19">
        <f>'[1]มี.ค.'!U16</f>
        <v>0</v>
      </c>
      <c r="T16" s="26"/>
      <c r="U16" s="26"/>
      <c r="V16" s="26"/>
    </row>
    <row r="17" spans="1:22" s="2" customFormat="1" ht="21">
      <c r="A17" s="31" t="s">
        <v>31</v>
      </c>
      <c r="B17" s="26"/>
      <c r="C17" s="17">
        <f>'[1]เม.ย.'!N17</f>
        <v>0</v>
      </c>
      <c r="D17" s="17">
        <f>'[1]เม.ย.'!O17</f>
        <v>33</v>
      </c>
      <c r="E17" s="17">
        <f>'[1]เม.ย.'!P17</f>
        <v>33</v>
      </c>
      <c r="F17" s="26"/>
      <c r="G17" s="26"/>
      <c r="H17" s="26"/>
      <c r="I17" s="26"/>
      <c r="J17" s="26"/>
      <c r="K17" s="26"/>
      <c r="L17" s="26"/>
      <c r="M17" s="26"/>
      <c r="N17" s="16">
        <f t="shared" si="1"/>
        <v>0</v>
      </c>
      <c r="O17" s="16">
        <f t="shared" si="1"/>
        <v>33</v>
      </c>
      <c r="P17" s="16">
        <f t="shared" si="0"/>
        <v>33</v>
      </c>
      <c r="Q17" s="27"/>
      <c r="R17" s="28"/>
      <c r="S17" s="19">
        <f>'[1]มี.ค.'!U17</f>
        <v>0</v>
      </c>
      <c r="T17" s="26"/>
      <c r="U17" s="26"/>
      <c r="V17" s="26"/>
    </row>
    <row r="18" spans="1:22" s="2" customFormat="1" ht="21">
      <c r="A18" s="31" t="s">
        <v>32</v>
      </c>
      <c r="B18" s="26"/>
      <c r="C18" s="17">
        <f>'[1]เม.ย.'!N18</f>
        <v>0</v>
      </c>
      <c r="D18" s="17">
        <f>'[1]เม.ย.'!O18</f>
        <v>33</v>
      </c>
      <c r="E18" s="17">
        <f>'[1]เม.ย.'!P18</f>
        <v>33</v>
      </c>
      <c r="F18" s="26"/>
      <c r="G18" s="26"/>
      <c r="H18" s="26"/>
      <c r="I18" s="26"/>
      <c r="J18" s="26"/>
      <c r="K18" s="26"/>
      <c r="L18" s="26"/>
      <c r="M18" s="26"/>
      <c r="N18" s="16">
        <f t="shared" si="1"/>
        <v>0</v>
      </c>
      <c r="O18" s="16">
        <f t="shared" si="1"/>
        <v>33</v>
      </c>
      <c r="P18" s="16">
        <f t="shared" si="0"/>
        <v>33</v>
      </c>
      <c r="Q18" s="27"/>
      <c r="R18" s="28"/>
      <c r="S18" s="19">
        <f>'[1]มี.ค.'!U18</f>
        <v>0</v>
      </c>
      <c r="T18" s="26"/>
      <c r="U18" s="26"/>
      <c r="V18" s="26"/>
    </row>
    <row r="19" spans="1:22" s="2" customFormat="1" ht="21">
      <c r="A19" s="31" t="s">
        <v>33</v>
      </c>
      <c r="B19" s="26"/>
      <c r="C19" s="17">
        <f>'[1]เม.ย.'!N19</f>
        <v>2</v>
      </c>
      <c r="D19" s="17">
        <f>'[1]เม.ย.'!O19</f>
        <v>32</v>
      </c>
      <c r="E19" s="17">
        <f>'[1]เม.ย.'!P19</f>
        <v>34</v>
      </c>
      <c r="F19" s="26"/>
      <c r="G19" s="26"/>
      <c r="H19" s="26"/>
      <c r="I19" s="26"/>
      <c r="J19" s="26"/>
      <c r="K19" s="26"/>
      <c r="L19" s="26"/>
      <c r="M19" s="26"/>
      <c r="N19" s="16">
        <f t="shared" si="1"/>
        <v>2</v>
      </c>
      <c r="O19" s="16">
        <f t="shared" si="1"/>
        <v>32</v>
      </c>
      <c r="P19" s="16">
        <f t="shared" si="0"/>
        <v>34</v>
      </c>
      <c r="Q19" s="27"/>
      <c r="R19" s="28"/>
      <c r="S19" s="19">
        <f>'[1]มี.ค.'!U19</f>
        <v>0</v>
      </c>
      <c r="T19" s="26"/>
      <c r="U19" s="26"/>
      <c r="V19" s="26"/>
    </row>
    <row r="20" spans="1:22" s="2" customFormat="1" ht="21">
      <c r="A20" s="31" t="s">
        <v>34</v>
      </c>
      <c r="B20" s="26"/>
      <c r="C20" s="17">
        <f>'[1]เม.ย.'!N20</f>
        <v>20</v>
      </c>
      <c r="D20" s="17">
        <f>'[1]เม.ย.'!O20</f>
        <v>13</v>
      </c>
      <c r="E20" s="17">
        <f>'[1]เม.ย.'!P20</f>
        <v>33</v>
      </c>
      <c r="F20" s="26"/>
      <c r="G20" s="26"/>
      <c r="H20" s="26"/>
      <c r="I20" s="26"/>
      <c r="J20" s="26"/>
      <c r="K20" s="26"/>
      <c r="L20" s="26"/>
      <c r="M20" s="26"/>
      <c r="N20" s="16">
        <f t="shared" si="1"/>
        <v>20</v>
      </c>
      <c r="O20" s="16">
        <f t="shared" si="1"/>
        <v>13</v>
      </c>
      <c r="P20" s="16">
        <f t="shared" si="0"/>
        <v>33</v>
      </c>
      <c r="Q20" s="27"/>
      <c r="R20" s="28"/>
      <c r="S20" s="19">
        <f>'[1]มี.ค.'!U20</f>
        <v>0</v>
      </c>
      <c r="T20" s="26"/>
      <c r="U20" s="26"/>
      <c r="V20" s="26"/>
    </row>
    <row r="21" spans="1:22" s="2" customFormat="1" ht="21">
      <c r="A21" s="31" t="s">
        <v>35</v>
      </c>
      <c r="B21" s="26"/>
      <c r="C21" s="17">
        <f>'[1]เม.ย.'!N21</f>
        <v>13</v>
      </c>
      <c r="D21" s="17">
        <f>'[1]เม.ย.'!O21</f>
        <v>22</v>
      </c>
      <c r="E21" s="17">
        <f>'[1]เม.ย.'!P21</f>
        <v>35</v>
      </c>
      <c r="F21" s="26"/>
      <c r="G21" s="26"/>
      <c r="H21" s="26"/>
      <c r="I21" s="26"/>
      <c r="J21" s="26"/>
      <c r="K21" s="26"/>
      <c r="L21" s="26"/>
      <c r="M21" s="26"/>
      <c r="N21" s="16">
        <f t="shared" si="1"/>
        <v>13</v>
      </c>
      <c r="O21" s="16">
        <f t="shared" si="1"/>
        <v>22</v>
      </c>
      <c r="P21" s="16">
        <f t="shared" si="0"/>
        <v>35</v>
      </c>
      <c r="Q21" s="27"/>
      <c r="R21" s="28"/>
      <c r="S21" s="19">
        <f>'[1]มี.ค.'!U21</f>
        <v>0</v>
      </c>
      <c r="T21" s="26"/>
      <c r="U21" s="26"/>
      <c r="V21" s="26"/>
    </row>
    <row r="22" spans="1:22" s="2" customFormat="1" ht="21">
      <c r="A22" s="31" t="s">
        <v>36</v>
      </c>
      <c r="B22" s="26"/>
      <c r="C22" s="17">
        <f>'[1]เม.ย.'!N22</f>
        <v>9</v>
      </c>
      <c r="D22" s="17">
        <f>'[1]เม.ย.'!O22</f>
        <v>24</v>
      </c>
      <c r="E22" s="17">
        <f>'[1]เม.ย.'!P22</f>
        <v>33</v>
      </c>
      <c r="F22" s="26"/>
      <c r="G22" s="26"/>
      <c r="H22" s="26"/>
      <c r="I22" s="26"/>
      <c r="J22" s="26"/>
      <c r="K22" s="26"/>
      <c r="L22" s="26"/>
      <c r="M22" s="26"/>
      <c r="N22" s="16">
        <f t="shared" si="1"/>
        <v>9</v>
      </c>
      <c r="O22" s="16">
        <f t="shared" si="1"/>
        <v>24</v>
      </c>
      <c r="P22" s="16">
        <f>SUM(N22:O22)</f>
        <v>33</v>
      </c>
      <c r="Q22" s="27"/>
      <c r="R22" s="28"/>
      <c r="S22" s="19">
        <f>'[1]มี.ค.'!U22</f>
        <v>0</v>
      </c>
      <c r="T22" s="26"/>
      <c r="U22" s="26"/>
      <c r="V22" s="26"/>
    </row>
    <row r="23" spans="1:22" s="2" customFormat="1" ht="21">
      <c r="A23" s="31" t="s">
        <v>37</v>
      </c>
      <c r="B23" s="26"/>
      <c r="C23" s="17">
        <f>'[1]เม.ย.'!N23</f>
        <v>6</v>
      </c>
      <c r="D23" s="17">
        <f>'[1]เม.ย.'!O23</f>
        <v>8</v>
      </c>
      <c r="E23" s="17">
        <f>'[1]เม.ย.'!P23</f>
        <v>14</v>
      </c>
      <c r="F23" s="26"/>
      <c r="G23" s="26"/>
      <c r="H23" s="26"/>
      <c r="I23" s="26"/>
      <c r="J23" s="26"/>
      <c r="K23" s="26"/>
      <c r="L23" s="26"/>
      <c r="M23" s="26"/>
      <c r="N23" s="16">
        <f t="shared" si="1"/>
        <v>6</v>
      </c>
      <c r="O23" s="16">
        <f t="shared" si="1"/>
        <v>8</v>
      </c>
      <c r="P23" s="16">
        <f t="shared" si="0"/>
        <v>14</v>
      </c>
      <c r="Q23" s="27"/>
      <c r="R23" s="28"/>
      <c r="S23" s="19">
        <f>'[1]มี.ค.'!U23</f>
        <v>0</v>
      </c>
      <c r="T23" s="26"/>
      <c r="U23" s="26"/>
      <c r="V23" s="26"/>
    </row>
    <row r="24" spans="1:22" s="4" customFormat="1" ht="21">
      <c r="A24" s="15" t="s">
        <v>38</v>
      </c>
      <c r="B24" s="16">
        <v>630</v>
      </c>
      <c r="C24" s="17">
        <f>'[1]เม.ย.'!N24</f>
        <v>88</v>
      </c>
      <c r="D24" s="17">
        <f>'[1]เม.ย.'!O24</f>
        <v>94</v>
      </c>
      <c r="E24" s="17">
        <f>'[1]เม.ย.'!P24</f>
        <v>182</v>
      </c>
      <c r="F24" s="16"/>
      <c r="G24" s="16"/>
      <c r="H24" s="16"/>
      <c r="I24" s="16"/>
      <c r="J24" s="16"/>
      <c r="K24" s="16"/>
      <c r="L24" s="16"/>
      <c r="M24" s="16"/>
      <c r="N24" s="16">
        <f>SUM(N25:N25)</f>
        <v>88</v>
      </c>
      <c r="O24" s="16">
        <f>SUM(O25:O25)</f>
        <v>94</v>
      </c>
      <c r="P24" s="16">
        <f>SUM(P25:P25)</f>
        <v>182</v>
      </c>
      <c r="Q24" s="18">
        <f>P24/B24*100</f>
        <v>28.888888888888886</v>
      </c>
      <c r="R24" s="19">
        <v>32200</v>
      </c>
      <c r="S24" s="19">
        <f>'[1]มี.ค.'!U24</f>
        <v>16100</v>
      </c>
      <c r="T24" s="23">
        <v>0</v>
      </c>
      <c r="U24" s="19">
        <f>S24+T24</f>
        <v>16100</v>
      </c>
      <c r="V24" s="18">
        <f>U24/R24*100</f>
        <v>50</v>
      </c>
    </row>
    <row r="25" spans="1:22" s="2" customFormat="1" ht="21">
      <c r="A25" s="31" t="s">
        <v>39</v>
      </c>
      <c r="B25" s="26">
        <v>120</v>
      </c>
      <c r="C25" s="17">
        <f>'[1]เม.ย.'!N25</f>
        <v>88</v>
      </c>
      <c r="D25" s="17">
        <f>'[1]เม.ย.'!O25</f>
        <v>94</v>
      </c>
      <c r="E25" s="17">
        <f>'[1]เม.ย.'!P25</f>
        <v>182</v>
      </c>
      <c r="F25" s="26"/>
      <c r="G25" s="26"/>
      <c r="H25" s="26"/>
      <c r="I25" s="26"/>
      <c r="J25" s="26"/>
      <c r="K25" s="26"/>
      <c r="L25" s="26"/>
      <c r="M25" s="26"/>
      <c r="N25" s="16">
        <f>C25+F25+H25+J25+L25</f>
        <v>88</v>
      </c>
      <c r="O25" s="16">
        <f>D25+G25+I25+K25+M25</f>
        <v>94</v>
      </c>
      <c r="P25" s="16">
        <f>SUM(N25:O25)</f>
        <v>182</v>
      </c>
      <c r="Q25" s="26"/>
      <c r="R25" s="26"/>
      <c r="S25" s="19">
        <f>'[1]มี.ค.'!U25</f>
        <v>0</v>
      </c>
      <c r="T25" s="32"/>
      <c r="U25" s="26"/>
      <c r="V25" s="26"/>
    </row>
    <row r="26" spans="1:22" s="4" customFormat="1" ht="21">
      <c r="A26" s="15" t="s">
        <v>40</v>
      </c>
      <c r="B26" s="16">
        <v>540</v>
      </c>
      <c r="C26" s="17">
        <f>'[1]เม.ย.'!N26</f>
        <v>173</v>
      </c>
      <c r="D26" s="17">
        <f>'[1]เม.ย.'!O26</f>
        <v>261</v>
      </c>
      <c r="E26" s="17">
        <f>'[1]เม.ย.'!P26</f>
        <v>434</v>
      </c>
      <c r="F26" s="16">
        <f>SUM(F27:F30)</f>
        <v>0</v>
      </c>
      <c r="G26" s="16">
        <f aca="true" t="shared" si="2" ref="G26:M26">SUM(G27:G30)</f>
        <v>0</v>
      </c>
      <c r="H26" s="16">
        <f t="shared" si="2"/>
        <v>2</v>
      </c>
      <c r="I26" s="16">
        <f t="shared" si="2"/>
        <v>3</v>
      </c>
      <c r="J26" s="16">
        <f t="shared" si="2"/>
        <v>5</v>
      </c>
      <c r="K26" s="16">
        <f t="shared" si="2"/>
        <v>5</v>
      </c>
      <c r="L26" s="16">
        <f t="shared" si="2"/>
        <v>14</v>
      </c>
      <c r="M26" s="16">
        <f t="shared" si="2"/>
        <v>26</v>
      </c>
      <c r="N26" s="16">
        <f>SUM(N27:N29)</f>
        <v>173</v>
      </c>
      <c r="O26" s="16">
        <f>SUM(O27:O29)</f>
        <v>261</v>
      </c>
      <c r="P26" s="16">
        <f>SUM(P27:P29)</f>
        <v>434</v>
      </c>
      <c r="Q26" s="18">
        <f>P26/B26*100</f>
        <v>80.37037037037037</v>
      </c>
      <c r="R26" s="19">
        <v>144000</v>
      </c>
      <c r="S26" s="19">
        <f>'[1]มี.ค.'!U27</f>
        <v>72000</v>
      </c>
      <c r="T26" s="23">
        <v>0</v>
      </c>
      <c r="U26" s="19">
        <f>SUM(S26:T26)</f>
        <v>72000</v>
      </c>
      <c r="V26" s="18">
        <f>U26/R26*100</f>
        <v>50</v>
      </c>
    </row>
    <row r="27" spans="1:22" s="2" customFormat="1" ht="21">
      <c r="A27" s="31" t="s">
        <v>41</v>
      </c>
      <c r="B27" s="26"/>
      <c r="C27" s="17">
        <f>'[1]เม.ย.'!N27</f>
        <v>68</v>
      </c>
      <c r="D27" s="17">
        <f>'[1]เม.ย.'!O27</f>
        <v>67</v>
      </c>
      <c r="E27" s="17">
        <f>'[1]เม.ย.'!P27</f>
        <v>135</v>
      </c>
      <c r="F27" s="26"/>
      <c r="G27" s="26"/>
      <c r="H27" s="26"/>
      <c r="I27" s="26"/>
      <c r="J27" s="26"/>
      <c r="K27" s="26"/>
      <c r="L27" s="26"/>
      <c r="M27" s="26"/>
      <c r="N27" s="16">
        <f aca="true" t="shared" si="3" ref="N27:O35">C27+F27+H27+J27+L27</f>
        <v>68</v>
      </c>
      <c r="O27" s="16">
        <f t="shared" si="3"/>
        <v>67</v>
      </c>
      <c r="P27" s="16">
        <f>SUM(N27:O27)</f>
        <v>135</v>
      </c>
      <c r="Q27" s="26"/>
      <c r="R27" s="26"/>
      <c r="S27" s="19">
        <f>'[1]มี.ค.'!U28</f>
        <v>0</v>
      </c>
      <c r="T27" s="32"/>
      <c r="U27" s="26"/>
      <c r="V27" s="26"/>
    </row>
    <row r="28" spans="1:22" s="2" customFormat="1" ht="42">
      <c r="A28" s="31" t="s">
        <v>42</v>
      </c>
      <c r="B28" s="26"/>
      <c r="C28" s="17">
        <f>'[1]เม.ย.'!N28</f>
        <v>25</v>
      </c>
      <c r="D28" s="17">
        <f>'[1]เม.ย.'!O28</f>
        <v>79</v>
      </c>
      <c r="E28" s="17">
        <f>'[1]เม.ย.'!P28</f>
        <v>104</v>
      </c>
      <c r="F28" s="26"/>
      <c r="G28" s="26"/>
      <c r="H28" s="26"/>
      <c r="I28" s="26"/>
      <c r="J28" s="26"/>
      <c r="K28" s="26"/>
      <c r="L28" s="26"/>
      <c r="M28" s="26"/>
      <c r="N28" s="16">
        <f t="shared" si="3"/>
        <v>25</v>
      </c>
      <c r="O28" s="16">
        <f t="shared" si="3"/>
        <v>79</v>
      </c>
      <c r="P28" s="16">
        <f>SUM(N28:O28)</f>
        <v>104</v>
      </c>
      <c r="Q28" s="26"/>
      <c r="R28" s="26"/>
      <c r="S28" s="19">
        <f>'[1]มี.ค.'!U29</f>
        <v>0</v>
      </c>
      <c r="T28" s="32"/>
      <c r="U28" s="26"/>
      <c r="V28" s="26"/>
    </row>
    <row r="29" spans="1:22" s="2" customFormat="1" ht="42">
      <c r="A29" s="31" t="s">
        <v>43</v>
      </c>
      <c r="B29" s="26"/>
      <c r="C29" s="17">
        <f>'[1]เม.ย.'!N29</f>
        <v>80</v>
      </c>
      <c r="D29" s="17">
        <f>'[1]เม.ย.'!O29</f>
        <v>115</v>
      </c>
      <c r="E29" s="17">
        <f>'[1]เม.ย.'!P29</f>
        <v>195</v>
      </c>
      <c r="F29" s="26"/>
      <c r="G29" s="26"/>
      <c r="H29" s="26"/>
      <c r="I29" s="26"/>
      <c r="J29" s="26"/>
      <c r="K29" s="26"/>
      <c r="L29" s="26"/>
      <c r="M29" s="26"/>
      <c r="N29" s="16">
        <f aca="true" t="shared" si="4" ref="N29:N35">C29+F29+H29+J29+L29</f>
        <v>80</v>
      </c>
      <c r="O29" s="16">
        <f t="shared" si="3"/>
        <v>115</v>
      </c>
      <c r="P29" s="16">
        <f>SUM(N29:O29)</f>
        <v>195</v>
      </c>
      <c r="Q29" s="26"/>
      <c r="R29" s="26"/>
      <c r="S29" s="19">
        <f>'[1]มี.ค.'!U30</f>
        <v>0</v>
      </c>
      <c r="T29" s="32"/>
      <c r="U29" s="26"/>
      <c r="V29" s="26"/>
    </row>
    <row r="30" spans="1:22" s="2" customFormat="1" ht="42">
      <c r="A30" s="31" t="s">
        <v>44</v>
      </c>
      <c r="B30" s="26">
        <v>55</v>
      </c>
      <c r="C30" s="17"/>
      <c r="D30" s="17"/>
      <c r="E30" s="17"/>
      <c r="F30" s="26"/>
      <c r="G30" s="26"/>
      <c r="H30" s="26">
        <v>2</v>
      </c>
      <c r="I30" s="26">
        <v>3</v>
      </c>
      <c r="J30" s="26">
        <v>5</v>
      </c>
      <c r="K30" s="26">
        <v>5</v>
      </c>
      <c r="L30" s="26">
        <v>14</v>
      </c>
      <c r="M30" s="26">
        <v>26</v>
      </c>
      <c r="N30" s="17">
        <f t="shared" si="4"/>
        <v>21</v>
      </c>
      <c r="O30" s="16">
        <f t="shared" si="3"/>
        <v>34</v>
      </c>
      <c r="P30" s="16">
        <f>SUM(N30:O30)</f>
        <v>55</v>
      </c>
      <c r="Q30" s="26"/>
      <c r="R30" s="26"/>
      <c r="S30" s="19">
        <f>'[1]มี.ค.'!U36</f>
        <v>0</v>
      </c>
      <c r="T30" s="26"/>
      <c r="U30" s="26"/>
      <c r="V30" s="26"/>
    </row>
    <row r="31" spans="1:22" s="4" customFormat="1" ht="21">
      <c r="A31" s="15" t="s">
        <v>45</v>
      </c>
      <c r="B31" s="16">
        <v>900</v>
      </c>
      <c r="C31" s="17">
        <f>'[1]เม.ย.'!N30</f>
        <v>412</v>
      </c>
      <c r="D31" s="17">
        <f>'[1]เม.ย.'!O30</f>
        <v>545</v>
      </c>
      <c r="E31" s="17">
        <f>'[1]เม.ย.'!P30</f>
        <v>957</v>
      </c>
      <c r="F31" s="16"/>
      <c r="G31" s="16"/>
      <c r="H31" s="16"/>
      <c r="I31" s="16"/>
      <c r="J31" s="16"/>
      <c r="K31" s="16"/>
      <c r="L31" s="16"/>
      <c r="M31" s="16"/>
      <c r="N31" s="16">
        <f t="shared" si="4"/>
        <v>412</v>
      </c>
      <c r="O31" s="16">
        <f>D31+G31+I31+K31+M31</f>
        <v>545</v>
      </c>
      <c r="P31" s="16">
        <f>O31+N31</f>
        <v>957</v>
      </c>
      <c r="Q31" s="18">
        <f>P31/B31*100</f>
        <v>106.33333333333333</v>
      </c>
      <c r="R31" s="19">
        <v>64000</v>
      </c>
      <c r="S31" s="19">
        <f>'[1]มี.ค.'!U31</f>
        <v>32000</v>
      </c>
      <c r="T31" s="23">
        <v>0</v>
      </c>
      <c r="U31" s="19">
        <f>T31+S31</f>
        <v>32000</v>
      </c>
      <c r="V31" s="18">
        <f>U31/R31*100</f>
        <v>50</v>
      </c>
    </row>
    <row r="32" spans="1:22" s="2" customFormat="1" ht="42">
      <c r="A32" s="31" t="s">
        <v>46</v>
      </c>
      <c r="B32" s="26"/>
      <c r="C32" s="17">
        <f>'[1]เม.ย.'!N31</f>
        <v>42</v>
      </c>
      <c r="D32" s="17">
        <f>'[1]เม.ย.'!O31</f>
        <v>60</v>
      </c>
      <c r="E32" s="17">
        <f>'[1]เม.ย.'!P31</f>
        <v>102</v>
      </c>
      <c r="F32" s="26"/>
      <c r="G32" s="26"/>
      <c r="H32" s="26"/>
      <c r="I32" s="26"/>
      <c r="J32" s="26"/>
      <c r="K32" s="26"/>
      <c r="L32" s="26"/>
      <c r="M32" s="26"/>
      <c r="N32" s="16">
        <f t="shared" si="4"/>
        <v>42</v>
      </c>
      <c r="O32" s="16">
        <f t="shared" si="3"/>
        <v>60</v>
      </c>
      <c r="P32" s="16">
        <f>O32+N32</f>
        <v>102</v>
      </c>
      <c r="Q32" s="26"/>
      <c r="R32" s="26"/>
      <c r="S32" s="19">
        <f>'[1]มี.ค.'!U32</f>
        <v>0</v>
      </c>
      <c r="T32" s="26"/>
      <c r="U32" s="26"/>
      <c r="V32" s="26"/>
    </row>
    <row r="33" spans="1:22" s="2" customFormat="1" ht="42">
      <c r="A33" s="31" t="s">
        <v>47</v>
      </c>
      <c r="B33" s="26"/>
      <c r="C33" s="17">
        <f>'[1]เม.ย.'!N32</f>
        <v>228</v>
      </c>
      <c r="D33" s="17">
        <f>'[1]เม.ย.'!O32</f>
        <v>318</v>
      </c>
      <c r="E33" s="17">
        <f>'[1]เม.ย.'!P32</f>
        <v>546</v>
      </c>
      <c r="F33" s="26"/>
      <c r="G33" s="26"/>
      <c r="H33" s="26"/>
      <c r="I33" s="26"/>
      <c r="J33" s="26"/>
      <c r="K33" s="26"/>
      <c r="L33" s="26"/>
      <c r="M33" s="26"/>
      <c r="N33" s="16">
        <f t="shared" si="4"/>
        <v>228</v>
      </c>
      <c r="O33" s="16">
        <f t="shared" si="3"/>
        <v>318</v>
      </c>
      <c r="P33" s="16">
        <f>O33+N33</f>
        <v>546</v>
      </c>
      <c r="Q33" s="26"/>
      <c r="R33" s="26"/>
      <c r="S33" s="19">
        <f>'[1]มี.ค.'!U33</f>
        <v>0</v>
      </c>
      <c r="T33" s="26"/>
      <c r="U33" s="26"/>
      <c r="V33" s="26"/>
    </row>
    <row r="34" spans="1:22" s="2" customFormat="1" ht="42">
      <c r="A34" s="31" t="s">
        <v>48</v>
      </c>
      <c r="B34" s="26"/>
      <c r="C34" s="17">
        <f>'[1]เม.ย.'!N33</f>
        <v>142</v>
      </c>
      <c r="D34" s="17">
        <f>'[1]เม.ย.'!O33</f>
        <v>167</v>
      </c>
      <c r="E34" s="17">
        <f>'[1]เม.ย.'!P33</f>
        <v>309</v>
      </c>
      <c r="F34" s="26"/>
      <c r="G34" s="26"/>
      <c r="H34" s="26"/>
      <c r="I34" s="26"/>
      <c r="J34" s="26"/>
      <c r="K34" s="26"/>
      <c r="L34" s="26"/>
      <c r="M34" s="26"/>
      <c r="N34" s="16">
        <f t="shared" si="4"/>
        <v>142</v>
      </c>
      <c r="O34" s="16">
        <f t="shared" si="3"/>
        <v>167</v>
      </c>
      <c r="P34" s="16">
        <f>O34+N34</f>
        <v>309</v>
      </c>
      <c r="Q34" s="26"/>
      <c r="R34" s="26"/>
      <c r="S34" s="19">
        <f>'[1]มี.ค.'!U34</f>
        <v>0</v>
      </c>
      <c r="T34" s="26"/>
      <c r="U34" s="26"/>
      <c r="V34" s="26"/>
    </row>
    <row r="35" spans="1:22" s="4" customFormat="1" ht="21">
      <c r="A35" s="15" t="s">
        <v>49</v>
      </c>
      <c r="B35" s="16">
        <v>60</v>
      </c>
      <c r="C35" s="17">
        <f>'[1]เม.ย.'!N34</f>
        <v>742</v>
      </c>
      <c r="D35" s="17">
        <f>'[1]เม.ย.'!O34</f>
        <v>1288</v>
      </c>
      <c r="E35" s="17">
        <f>'[1]เม.ย.'!P34</f>
        <v>2030</v>
      </c>
      <c r="F35" s="16"/>
      <c r="G35" s="16"/>
      <c r="H35" s="16"/>
      <c r="I35" s="16"/>
      <c r="J35" s="16"/>
      <c r="K35" s="16"/>
      <c r="L35" s="16"/>
      <c r="M35" s="16"/>
      <c r="N35" s="16">
        <f t="shared" si="4"/>
        <v>742</v>
      </c>
      <c r="O35" s="19">
        <f t="shared" si="3"/>
        <v>1288</v>
      </c>
      <c r="P35" s="19">
        <f>O35+N35</f>
        <v>2030</v>
      </c>
      <c r="Q35" s="16"/>
      <c r="R35" s="16"/>
      <c r="S35" s="19">
        <f>'[1]มี.ค.'!U35</f>
        <v>0</v>
      </c>
      <c r="T35" s="16"/>
      <c r="U35" s="16"/>
      <c r="V35" s="16"/>
    </row>
    <row r="36" spans="1:22" s="4" customFormat="1" ht="21">
      <c r="A36" s="15" t="s">
        <v>50</v>
      </c>
      <c r="B36" s="16">
        <v>46</v>
      </c>
      <c r="C36" s="17">
        <f>'[1]เม.ย.'!N36</f>
        <v>24</v>
      </c>
      <c r="D36" s="17">
        <f>'[1]เม.ย.'!O36</f>
        <v>22</v>
      </c>
      <c r="E36" s="17">
        <f>'[1]เม.ย.'!P36</f>
        <v>46</v>
      </c>
      <c r="F36" s="16"/>
      <c r="G36" s="16"/>
      <c r="H36" s="16"/>
      <c r="I36" s="16"/>
      <c r="J36" s="16"/>
      <c r="K36" s="16"/>
      <c r="L36" s="16"/>
      <c r="M36" s="16"/>
      <c r="N36" s="16">
        <v>24</v>
      </c>
      <c r="O36" s="16">
        <v>22</v>
      </c>
      <c r="P36" s="16">
        <v>46</v>
      </c>
      <c r="Q36" s="18">
        <f>P37/B37*100</f>
        <v>100</v>
      </c>
      <c r="R36" s="19">
        <v>195000</v>
      </c>
      <c r="S36" s="19">
        <f>'[1]มี.ค.'!U37</f>
        <v>95000</v>
      </c>
      <c r="T36" s="19">
        <v>32000</v>
      </c>
      <c r="U36" s="20">
        <f>S36+T36</f>
        <v>127000</v>
      </c>
      <c r="V36" s="18">
        <f>U36/R36*100</f>
        <v>65.12820512820512</v>
      </c>
    </row>
    <row r="37" spans="1:22" s="2" customFormat="1" ht="21">
      <c r="A37" s="15" t="s">
        <v>51</v>
      </c>
      <c r="B37" s="26">
        <v>46</v>
      </c>
      <c r="C37" s="17">
        <f>'[1]เม.ย.'!N37</f>
        <v>24</v>
      </c>
      <c r="D37" s="17">
        <f>'[1]เม.ย.'!O37</f>
        <v>22</v>
      </c>
      <c r="E37" s="17">
        <f>'[1]เม.ย.'!P37</f>
        <v>46</v>
      </c>
      <c r="F37" s="26"/>
      <c r="G37" s="26"/>
      <c r="H37" s="26"/>
      <c r="I37" s="26"/>
      <c r="J37" s="26"/>
      <c r="K37" s="26"/>
      <c r="L37" s="26"/>
      <c r="M37" s="26"/>
      <c r="N37" s="16">
        <v>24</v>
      </c>
      <c r="O37" s="16">
        <v>22</v>
      </c>
      <c r="P37" s="16">
        <f>SUM(N37:O37)</f>
        <v>46</v>
      </c>
      <c r="Q37" s="26"/>
      <c r="R37" s="26"/>
      <c r="S37" s="19">
        <f>'[1]มี.ค.'!U38</f>
        <v>0</v>
      </c>
      <c r="T37" s="26"/>
      <c r="U37" s="26"/>
      <c r="V37" s="26"/>
    </row>
    <row r="38" spans="1:22" ht="42">
      <c r="A38" s="33" t="s">
        <v>52</v>
      </c>
      <c r="B38" s="34"/>
      <c r="C38" s="17">
        <f>'[1]เม.ย.'!N38</f>
        <v>0</v>
      </c>
      <c r="D38" s="17">
        <f>'[1]เม.ย.'!O38</f>
        <v>0</v>
      </c>
      <c r="E38" s="17">
        <f>'[1]เม.ย.'!P38</f>
        <v>0</v>
      </c>
      <c r="F38" s="26"/>
      <c r="G38" s="26"/>
      <c r="H38" s="26"/>
      <c r="I38" s="26"/>
      <c r="J38" s="26"/>
      <c r="K38" s="26"/>
      <c r="L38" s="26"/>
      <c r="M38" s="26"/>
      <c r="N38" s="16"/>
      <c r="O38" s="16"/>
      <c r="P38" s="16"/>
      <c r="Q38" s="35"/>
      <c r="R38" s="35"/>
      <c r="S38" s="19"/>
      <c r="T38" s="35"/>
      <c r="U38" s="35"/>
      <c r="V38" s="35"/>
    </row>
    <row r="39" spans="1:22" s="2" customFormat="1" ht="21">
      <c r="A39" s="15" t="s">
        <v>53</v>
      </c>
      <c r="B39" s="26"/>
      <c r="C39" s="17">
        <f>'[1]เม.ย.'!N39</f>
        <v>0</v>
      </c>
      <c r="D39" s="17">
        <f>'[1]เม.ย.'!O39</f>
        <v>0</v>
      </c>
      <c r="E39" s="17">
        <f>'[1]เม.ย.'!P39</f>
        <v>0</v>
      </c>
      <c r="F39" s="26"/>
      <c r="G39" s="26"/>
      <c r="H39" s="26"/>
      <c r="I39" s="26"/>
      <c r="J39" s="26"/>
      <c r="K39" s="26"/>
      <c r="L39" s="26"/>
      <c r="M39" s="26"/>
      <c r="N39" s="16"/>
      <c r="O39" s="16"/>
      <c r="P39" s="16"/>
      <c r="Q39" s="26"/>
      <c r="R39" s="26"/>
      <c r="S39" s="19">
        <f>'[1]มี.ค.'!U40</f>
        <v>0</v>
      </c>
      <c r="T39" s="26"/>
      <c r="U39" s="26"/>
      <c r="V39" s="26"/>
    </row>
    <row r="40" spans="1:22" s="2" customFormat="1" ht="21">
      <c r="A40" s="15" t="s">
        <v>54</v>
      </c>
      <c r="B40" s="26"/>
      <c r="C40" s="17">
        <f>'[1]เม.ย.'!N40</f>
        <v>0</v>
      </c>
      <c r="D40" s="17">
        <f>'[1]เม.ย.'!O40</f>
        <v>0</v>
      </c>
      <c r="E40" s="17">
        <f>'[1]เม.ย.'!P40</f>
        <v>0</v>
      </c>
      <c r="F40" s="26"/>
      <c r="G40" s="26"/>
      <c r="H40" s="26"/>
      <c r="I40" s="26"/>
      <c r="J40" s="26"/>
      <c r="K40" s="26"/>
      <c r="L40" s="26"/>
      <c r="M40" s="26"/>
      <c r="N40" s="16"/>
      <c r="O40" s="16"/>
      <c r="P40" s="16"/>
      <c r="Q40" s="26"/>
      <c r="R40" s="26"/>
      <c r="S40" s="19">
        <f>'[1]มี.ค.'!U41</f>
        <v>0</v>
      </c>
      <c r="T40" s="26"/>
      <c r="U40" s="26"/>
      <c r="V40" s="26"/>
    </row>
    <row r="41" spans="1:22" s="2" customFormat="1" ht="21">
      <c r="A41" s="15" t="s">
        <v>55</v>
      </c>
      <c r="B41" s="26"/>
      <c r="C41" s="17">
        <f>'[1]เม.ย.'!N41</f>
        <v>0</v>
      </c>
      <c r="D41" s="17">
        <f>'[1]เม.ย.'!O41</f>
        <v>0</v>
      </c>
      <c r="E41" s="17">
        <f>'[1]เม.ย.'!P41</f>
        <v>0</v>
      </c>
      <c r="F41" s="26"/>
      <c r="G41" s="26"/>
      <c r="H41" s="26"/>
      <c r="I41" s="26"/>
      <c r="J41" s="26"/>
      <c r="K41" s="26"/>
      <c r="L41" s="26"/>
      <c r="M41" s="26"/>
      <c r="N41" s="16"/>
      <c r="O41" s="16"/>
      <c r="P41" s="16"/>
      <c r="Q41" s="26"/>
      <c r="R41" s="26"/>
      <c r="S41" s="19">
        <f>'[1]มี.ค.'!U42</f>
        <v>0</v>
      </c>
      <c r="T41" s="26"/>
      <c r="U41" s="26"/>
      <c r="V41" s="26"/>
    </row>
    <row r="42" spans="1:22" s="2" customFormat="1" ht="21">
      <c r="A42" s="15" t="s">
        <v>56</v>
      </c>
      <c r="B42" s="26"/>
      <c r="C42" s="17">
        <f>'[1]เม.ย.'!N42</f>
        <v>0</v>
      </c>
      <c r="D42" s="17">
        <f>'[1]เม.ย.'!O42</f>
        <v>0</v>
      </c>
      <c r="E42" s="17">
        <f>'[1]เม.ย.'!P42</f>
        <v>0</v>
      </c>
      <c r="F42" s="26"/>
      <c r="G42" s="26"/>
      <c r="H42" s="26"/>
      <c r="I42" s="26"/>
      <c r="J42" s="26"/>
      <c r="K42" s="26"/>
      <c r="L42" s="26"/>
      <c r="M42" s="26"/>
      <c r="N42" s="16"/>
      <c r="O42" s="16"/>
      <c r="P42" s="16"/>
      <c r="Q42" s="26"/>
      <c r="R42" s="26"/>
      <c r="S42" s="19">
        <f>'[1]มี.ค.'!U43</f>
        <v>0</v>
      </c>
      <c r="T42" s="26"/>
      <c r="U42" s="26"/>
      <c r="V42" s="26"/>
    </row>
    <row r="43" spans="1:22" ht="42">
      <c r="A43" s="33" t="s">
        <v>57</v>
      </c>
      <c r="B43" s="34"/>
      <c r="C43" s="17">
        <f>'[1]เม.ย.'!N43</f>
        <v>0</v>
      </c>
      <c r="D43" s="17">
        <f>'[1]เม.ย.'!O43</f>
        <v>0</v>
      </c>
      <c r="E43" s="17">
        <f>'[1]เม.ย.'!P43</f>
        <v>0</v>
      </c>
      <c r="F43" s="26"/>
      <c r="G43" s="26"/>
      <c r="H43" s="26"/>
      <c r="I43" s="26"/>
      <c r="J43" s="26"/>
      <c r="K43" s="26"/>
      <c r="L43" s="26"/>
      <c r="M43" s="26"/>
      <c r="N43" s="16"/>
      <c r="O43" s="16"/>
      <c r="P43" s="16"/>
      <c r="Q43" s="35"/>
      <c r="R43" s="35"/>
      <c r="S43" s="19"/>
      <c r="T43" s="35"/>
      <c r="U43" s="35"/>
      <c r="V43" s="35"/>
    </row>
    <row r="44" spans="1:22" s="2" customFormat="1" ht="42">
      <c r="A44" s="36" t="s">
        <v>58</v>
      </c>
      <c r="B44" s="26"/>
      <c r="C44" s="17">
        <f>'[1]เม.ย.'!N44</f>
        <v>0</v>
      </c>
      <c r="D44" s="17">
        <f>'[1]เม.ย.'!O44</f>
        <v>0</v>
      </c>
      <c r="E44" s="17">
        <f>'[1]เม.ย.'!P44</f>
        <v>0</v>
      </c>
      <c r="F44" s="26"/>
      <c r="G44" s="26"/>
      <c r="H44" s="26"/>
      <c r="I44" s="26"/>
      <c r="J44" s="26"/>
      <c r="K44" s="26"/>
      <c r="L44" s="26"/>
      <c r="M44" s="26"/>
      <c r="N44" s="16"/>
      <c r="O44" s="16"/>
      <c r="P44" s="16"/>
      <c r="Q44" s="26"/>
      <c r="R44" s="26"/>
      <c r="S44" s="19">
        <f>'[1]มี.ค.'!U45</f>
        <v>0</v>
      </c>
      <c r="T44" s="26"/>
      <c r="U44" s="26"/>
      <c r="V44" s="26"/>
    </row>
    <row r="45" spans="1:22" s="2" customFormat="1" ht="21">
      <c r="A45" s="15" t="s">
        <v>59</v>
      </c>
      <c r="B45" s="26"/>
      <c r="C45" s="17">
        <f>'[1]เม.ย.'!N45</f>
        <v>0</v>
      </c>
      <c r="D45" s="17">
        <f>'[1]เม.ย.'!O45</f>
        <v>0</v>
      </c>
      <c r="E45" s="17">
        <f>'[1]เม.ย.'!P45</f>
        <v>0</v>
      </c>
      <c r="F45" s="26"/>
      <c r="G45" s="26"/>
      <c r="H45" s="26"/>
      <c r="I45" s="26"/>
      <c r="J45" s="26"/>
      <c r="K45" s="26"/>
      <c r="L45" s="26"/>
      <c r="M45" s="26"/>
      <c r="N45" s="16"/>
      <c r="O45" s="16"/>
      <c r="P45" s="16"/>
      <c r="Q45" s="26"/>
      <c r="R45" s="26"/>
      <c r="S45" s="19">
        <f>'[1]มี.ค.'!U46</f>
        <v>0</v>
      </c>
      <c r="T45" s="26"/>
      <c r="U45" s="26"/>
      <c r="V45" s="26"/>
    </row>
    <row r="46" spans="1:22" s="2" customFormat="1" ht="21">
      <c r="A46" s="15" t="s">
        <v>60</v>
      </c>
      <c r="C46" s="17">
        <f>'[1]เม.ย.'!N46</f>
        <v>0</v>
      </c>
      <c r="D46" s="17">
        <f>'[1]เม.ย.'!O46</f>
        <v>0</v>
      </c>
      <c r="E46" s="17">
        <f>'[1]เม.ย.'!P46</f>
        <v>0</v>
      </c>
      <c r="F46" s="26"/>
      <c r="G46" s="26"/>
      <c r="H46" s="26"/>
      <c r="I46" s="26"/>
      <c r="J46" s="26"/>
      <c r="K46" s="26"/>
      <c r="L46" s="26"/>
      <c r="M46" s="26"/>
      <c r="N46" s="16"/>
      <c r="O46" s="16"/>
      <c r="P46" s="16"/>
      <c r="Q46" s="26"/>
      <c r="R46" s="26"/>
      <c r="S46" s="19">
        <f>'[1]มี.ค.'!U47</f>
        <v>0</v>
      </c>
      <c r="T46" s="26"/>
      <c r="U46" s="26"/>
      <c r="V46" s="26"/>
    </row>
    <row r="47" spans="1:22" s="2" customFormat="1" ht="21">
      <c r="A47" s="15" t="s">
        <v>61</v>
      </c>
      <c r="B47" s="26"/>
      <c r="C47" s="17">
        <f>'[1]เม.ย.'!N47</f>
        <v>0</v>
      </c>
      <c r="D47" s="17">
        <f>'[1]เม.ย.'!O47</f>
        <v>0</v>
      </c>
      <c r="E47" s="17">
        <f>'[1]เม.ย.'!P47</f>
        <v>0</v>
      </c>
      <c r="F47" s="26"/>
      <c r="G47" s="26"/>
      <c r="H47" s="26"/>
      <c r="I47" s="26"/>
      <c r="J47" s="26"/>
      <c r="K47" s="26"/>
      <c r="L47" s="26"/>
      <c r="M47" s="26"/>
      <c r="N47" s="16"/>
      <c r="O47" s="16"/>
      <c r="P47" s="16"/>
      <c r="Q47" s="26"/>
      <c r="R47" s="26"/>
      <c r="S47" s="19">
        <f>'[1]มี.ค.'!U48</f>
        <v>0</v>
      </c>
      <c r="T47" s="26"/>
      <c r="U47" s="26"/>
      <c r="V47" s="26"/>
    </row>
    <row r="48" spans="1:22" s="2" customFormat="1" ht="21">
      <c r="A48" s="36" t="s">
        <v>62</v>
      </c>
      <c r="B48" s="26"/>
      <c r="C48" s="17">
        <f>'[1]เม.ย.'!N48</f>
        <v>0</v>
      </c>
      <c r="D48" s="17">
        <f>'[1]เม.ย.'!O48</f>
        <v>0</v>
      </c>
      <c r="E48" s="17">
        <f>'[1]เม.ย.'!P48</f>
        <v>0</v>
      </c>
      <c r="F48" s="26"/>
      <c r="G48" s="26"/>
      <c r="H48" s="26"/>
      <c r="I48" s="26"/>
      <c r="J48" s="26"/>
      <c r="K48" s="26"/>
      <c r="L48" s="26"/>
      <c r="M48" s="26"/>
      <c r="N48" s="16"/>
      <c r="O48" s="16"/>
      <c r="P48" s="16"/>
      <c r="Q48" s="26"/>
      <c r="R48" s="26"/>
      <c r="S48" s="19">
        <f>'[1]มี.ค.'!U49</f>
        <v>0</v>
      </c>
      <c r="T48" s="26"/>
      <c r="U48" s="26"/>
      <c r="V48" s="26"/>
    </row>
    <row r="49" spans="1:22" ht="21">
      <c r="A49" s="37" t="s">
        <v>63</v>
      </c>
      <c r="B49" s="34"/>
      <c r="C49" s="17">
        <f>'[1]เม.ย.'!N49</f>
        <v>0</v>
      </c>
      <c r="D49" s="17">
        <f>'[1]เม.ย.'!O49</f>
        <v>0</v>
      </c>
      <c r="E49" s="17">
        <f>'[1]เม.ย.'!P49</f>
        <v>0</v>
      </c>
      <c r="F49" s="26"/>
      <c r="G49" s="26"/>
      <c r="H49" s="26"/>
      <c r="I49" s="26"/>
      <c r="J49" s="26"/>
      <c r="K49" s="26"/>
      <c r="L49" s="26"/>
      <c r="M49" s="26"/>
      <c r="N49" s="16"/>
      <c r="O49" s="16"/>
      <c r="P49" s="16"/>
      <c r="Q49" s="35"/>
      <c r="R49" s="38">
        <v>68480</v>
      </c>
      <c r="S49" s="19">
        <f>'[1]มี.ค.'!U50</f>
        <v>32110</v>
      </c>
      <c r="T49" s="29">
        <v>22060</v>
      </c>
      <c r="U49" s="39">
        <f>S49+T49</f>
        <v>54170</v>
      </c>
      <c r="V49" s="40">
        <f>U49/R49*100</f>
        <v>79.10338785046729</v>
      </c>
    </row>
    <row r="50" spans="1:22" s="4" customFormat="1" ht="21">
      <c r="A50" s="16" t="s">
        <v>64</v>
      </c>
      <c r="B50" s="17">
        <v>76000</v>
      </c>
      <c r="C50" s="17">
        <f>'[1]เม.ย.'!N50</f>
        <v>28316</v>
      </c>
      <c r="D50" s="17">
        <f>'[1]เม.ย.'!O50</f>
        <v>28190</v>
      </c>
      <c r="E50" s="17">
        <f>'[1]เม.ย.'!P50</f>
        <v>56506</v>
      </c>
      <c r="F50" s="17">
        <v>38</v>
      </c>
      <c r="G50" s="17">
        <v>33</v>
      </c>
      <c r="H50" s="17">
        <v>44</v>
      </c>
      <c r="I50" s="17">
        <v>39</v>
      </c>
      <c r="J50" s="17">
        <v>44</v>
      </c>
      <c r="K50" s="17">
        <v>36</v>
      </c>
      <c r="L50" s="17">
        <v>32</v>
      </c>
      <c r="M50" s="17">
        <v>31</v>
      </c>
      <c r="N50" s="17">
        <f aca="true" t="shared" si="5" ref="N50:O53">C50+F50+H50+J50+L50</f>
        <v>28474</v>
      </c>
      <c r="O50" s="41">
        <f t="shared" si="5"/>
        <v>28329</v>
      </c>
      <c r="P50" s="17">
        <f aca="true" t="shared" si="6" ref="P50:P60">SUM(N50:O50)</f>
        <v>56803</v>
      </c>
      <c r="Q50" s="18">
        <f>(O50+N50)/B50*100</f>
        <v>74.74078947368422</v>
      </c>
      <c r="R50" s="16"/>
      <c r="S50" s="19">
        <f>'[1]มี.ค.'!U51</f>
        <v>0</v>
      </c>
      <c r="T50" s="16"/>
      <c r="U50" s="16"/>
      <c r="V50" s="16"/>
    </row>
    <row r="51" spans="1:22" s="4" customFormat="1" ht="21">
      <c r="A51" s="16" t="s">
        <v>65</v>
      </c>
      <c r="B51" s="17">
        <v>5000</v>
      </c>
      <c r="C51" s="17">
        <f>'[1]เม.ย.'!N51</f>
        <v>2361</v>
      </c>
      <c r="D51" s="17">
        <f>'[1]เม.ย.'!O51</f>
        <v>2737</v>
      </c>
      <c r="E51" s="17">
        <f>'[1]เม.ย.'!P51</f>
        <v>5098</v>
      </c>
      <c r="F51" s="17">
        <v>3</v>
      </c>
      <c r="G51" s="17">
        <v>4</v>
      </c>
      <c r="H51" s="17">
        <v>5</v>
      </c>
      <c r="I51" s="17">
        <v>7</v>
      </c>
      <c r="J51" s="17">
        <v>2</v>
      </c>
      <c r="K51" s="17">
        <v>2</v>
      </c>
      <c r="L51" s="17">
        <v>1</v>
      </c>
      <c r="M51" s="17">
        <v>2</v>
      </c>
      <c r="N51" s="17">
        <f t="shared" si="5"/>
        <v>2372</v>
      </c>
      <c r="O51" s="41">
        <f t="shared" si="5"/>
        <v>2752</v>
      </c>
      <c r="P51" s="17">
        <f t="shared" si="6"/>
        <v>5124</v>
      </c>
      <c r="Q51" s="18">
        <f>(O51+N51)/B51*100</f>
        <v>102.47999999999999</v>
      </c>
      <c r="R51" s="16"/>
      <c r="S51" s="19">
        <f>'[1]มี.ค.'!U52</f>
        <v>0</v>
      </c>
      <c r="T51" s="16"/>
      <c r="U51" s="16"/>
      <c r="V51" s="16"/>
    </row>
    <row r="52" spans="1:22" s="4" customFormat="1" ht="21">
      <c r="A52" s="16" t="s">
        <v>66</v>
      </c>
      <c r="B52" s="17">
        <v>20000</v>
      </c>
      <c r="C52" s="17">
        <f>'[1]เม.ย.'!N52</f>
        <v>8567</v>
      </c>
      <c r="D52" s="17">
        <f>'[1]เม.ย.'!O52</f>
        <v>8881</v>
      </c>
      <c r="E52" s="17">
        <f>'[1]เม.ย.'!P52</f>
        <v>17448</v>
      </c>
      <c r="F52" s="17">
        <f>SUM(F53:F56)</f>
        <v>56</v>
      </c>
      <c r="G52" s="17">
        <f aca="true" t="shared" si="7" ref="G52:M52">SUM(G53:G56)</f>
        <v>51</v>
      </c>
      <c r="H52" s="17">
        <f t="shared" si="7"/>
        <v>38</v>
      </c>
      <c r="I52" s="17">
        <f t="shared" si="7"/>
        <v>36</v>
      </c>
      <c r="J52" s="17">
        <f t="shared" si="7"/>
        <v>34</v>
      </c>
      <c r="K52" s="17">
        <f t="shared" si="7"/>
        <v>25</v>
      </c>
      <c r="L52" s="17">
        <f t="shared" si="7"/>
        <v>22</v>
      </c>
      <c r="M52" s="17">
        <f t="shared" si="7"/>
        <v>21</v>
      </c>
      <c r="N52" s="17">
        <f t="shared" si="5"/>
        <v>8717</v>
      </c>
      <c r="O52" s="41">
        <f t="shared" si="5"/>
        <v>9014</v>
      </c>
      <c r="P52" s="17">
        <f>SUM(N52:O52)</f>
        <v>17731</v>
      </c>
      <c r="Q52" s="18">
        <f>P52/B52*100</f>
        <v>88.655</v>
      </c>
      <c r="R52" s="16"/>
      <c r="S52" s="19">
        <f>'[1]มี.ค.'!U53</f>
        <v>0</v>
      </c>
      <c r="T52" s="16"/>
      <c r="U52" s="16"/>
      <c r="V52" s="16"/>
    </row>
    <row r="53" spans="1:22" s="2" customFormat="1" ht="21">
      <c r="A53" s="26" t="s">
        <v>67</v>
      </c>
      <c r="B53" s="28"/>
      <c r="C53" s="17">
        <f>'[1]เม.ย.'!N53</f>
        <v>256</v>
      </c>
      <c r="D53" s="17">
        <f>'[1]เม.ย.'!O53</f>
        <v>349</v>
      </c>
      <c r="E53" s="17">
        <f>'[1]เม.ย.'!P53</f>
        <v>605</v>
      </c>
      <c r="F53" s="28"/>
      <c r="G53" s="28"/>
      <c r="H53" s="28"/>
      <c r="I53" s="28"/>
      <c r="J53" s="28"/>
      <c r="K53" s="28"/>
      <c r="L53" s="28"/>
      <c r="M53" s="28"/>
      <c r="N53" s="28">
        <f t="shared" si="5"/>
        <v>256</v>
      </c>
      <c r="O53" s="42">
        <f t="shared" si="5"/>
        <v>349</v>
      </c>
      <c r="P53" s="17">
        <f t="shared" si="6"/>
        <v>605</v>
      </c>
      <c r="Q53" s="18"/>
      <c r="R53" s="26"/>
      <c r="S53" s="19">
        <f>'[1]มี.ค.'!U54</f>
        <v>0</v>
      </c>
      <c r="T53" s="26"/>
      <c r="U53" s="26"/>
      <c r="V53" s="26"/>
    </row>
    <row r="54" spans="1:22" s="2" customFormat="1" ht="42">
      <c r="A54" s="31" t="s">
        <v>68</v>
      </c>
      <c r="B54" s="28"/>
      <c r="C54" s="17">
        <f>'[1]เม.ย.'!N54</f>
        <v>856</v>
      </c>
      <c r="D54" s="17">
        <f>'[1]เม.ย.'!O54</f>
        <v>1035</v>
      </c>
      <c r="E54" s="17">
        <f>'[1]เม.ย.'!P54</f>
        <v>1891</v>
      </c>
      <c r="F54" s="28">
        <v>47</v>
      </c>
      <c r="G54" s="28">
        <v>45</v>
      </c>
      <c r="H54" s="28">
        <v>38</v>
      </c>
      <c r="I54" s="17">
        <v>36</v>
      </c>
      <c r="J54" s="17">
        <v>34</v>
      </c>
      <c r="K54" s="17">
        <v>25</v>
      </c>
      <c r="L54" s="17">
        <v>22</v>
      </c>
      <c r="M54" s="17">
        <v>21</v>
      </c>
      <c r="N54" s="28">
        <f aca="true" t="shared" si="8" ref="N54:O56">+C54+F54+H54+J54+L54</f>
        <v>997</v>
      </c>
      <c r="O54" s="42">
        <f t="shared" si="8"/>
        <v>1162</v>
      </c>
      <c r="P54" s="17">
        <f>SUM(N54:O54)</f>
        <v>2159</v>
      </c>
      <c r="Q54" s="18"/>
      <c r="R54" s="28"/>
      <c r="S54" s="19">
        <f>'[1]มี.ค.'!U55</f>
        <v>0</v>
      </c>
      <c r="T54" s="26"/>
      <c r="U54" s="26"/>
      <c r="V54" s="26"/>
    </row>
    <row r="55" spans="1:22" ht="42">
      <c r="A55" s="43" t="s">
        <v>69</v>
      </c>
      <c r="B55" s="38"/>
      <c r="C55" s="17">
        <f>'[1]เม.ย.'!N55</f>
        <v>102</v>
      </c>
      <c r="D55" s="17">
        <f>'[1]เม.ย.'!O55</f>
        <v>99</v>
      </c>
      <c r="E55" s="17">
        <f>'[1]เม.ย.'!P55</f>
        <v>201</v>
      </c>
      <c r="F55" s="28"/>
      <c r="G55" s="28"/>
      <c r="H55" s="28"/>
      <c r="I55" s="17"/>
      <c r="J55" s="17"/>
      <c r="K55" s="17"/>
      <c r="L55" s="17"/>
      <c r="M55" s="17"/>
      <c r="N55" s="28">
        <f t="shared" si="8"/>
        <v>102</v>
      </c>
      <c r="O55" s="42">
        <f t="shared" si="8"/>
        <v>99</v>
      </c>
      <c r="P55" s="17">
        <f>SUM(N55:O55)</f>
        <v>201</v>
      </c>
      <c r="Q55" s="35"/>
      <c r="R55" s="35"/>
      <c r="S55" s="19">
        <f>'[1]มี.ค.'!U56</f>
        <v>0</v>
      </c>
      <c r="T55" s="35"/>
      <c r="U55" s="35"/>
      <c r="V55" s="35"/>
    </row>
    <row r="56" spans="1:22" ht="21">
      <c r="A56" s="43" t="s">
        <v>70</v>
      </c>
      <c r="B56" s="38"/>
      <c r="C56" s="17"/>
      <c r="D56" s="17"/>
      <c r="E56" s="17"/>
      <c r="F56" s="28">
        <v>9</v>
      </c>
      <c r="G56" s="28">
        <v>6</v>
      </c>
      <c r="H56" s="28"/>
      <c r="I56" s="17"/>
      <c r="J56" s="17"/>
      <c r="K56" s="17"/>
      <c r="L56" s="17"/>
      <c r="M56" s="17"/>
      <c r="N56" s="28">
        <f t="shared" si="8"/>
        <v>9</v>
      </c>
      <c r="O56" s="42">
        <f t="shared" si="8"/>
        <v>6</v>
      </c>
      <c r="P56" s="17">
        <f>SUM(N56:O56)</f>
        <v>15</v>
      </c>
      <c r="Q56" s="35"/>
      <c r="R56" s="35"/>
      <c r="S56" s="19"/>
      <c r="T56" s="35"/>
      <c r="U56" s="35"/>
      <c r="V56" s="35"/>
    </row>
    <row r="57" spans="1:22" s="4" customFormat="1" ht="21">
      <c r="A57" s="16" t="s">
        <v>71</v>
      </c>
      <c r="B57" s="17">
        <v>2400</v>
      </c>
      <c r="C57" s="17">
        <f>'[1]เม.ย.'!N57</f>
        <v>5282</v>
      </c>
      <c r="D57" s="17">
        <f>'[1]เม.ย.'!O57</f>
        <v>5664</v>
      </c>
      <c r="E57" s="17">
        <f>'[1]เม.ย.'!P57</f>
        <v>10946</v>
      </c>
      <c r="F57" s="17">
        <f>SUM(F58:F60)</f>
        <v>74</v>
      </c>
      <c r="G57" s="17">
        <f aca="true" t="shared" si="9" ref="G57:M57">SUM(G58:G60)</f>
        <v>52</v>
      </c>
      <c r="H57" s="17">
        <f t="shared" si="9"/>
        <v>104</v>
      </c>
      <c r="I57" s="17">
        <f t="shared" si="9"/>
        <v>205</v>
      </c>
      <c r="J57" s="17">
        <f t="shared" si="9"/>
        <v>159</v>
      </c>
      <c r="K57" s="17">
        <f t="shared" si="9"/>
        <v>80</v>
      </c>
      <c r="L57" s="17">
        <f t="shared" si="9"/>
        <v>44</v>
      </c>
      <c r="M57" s="17">
        <f t="shared" si="9"/>
        <v>22</v>
      </c>
      <c r="N57" s="17">
        <f aca="true" t="shared" si="10" ref="N57:O60">C57+F57+H57+J57+L57</f>
        <v>5663</v>
      </c>
      <c r="O57" s="41">
        <f t="shared" si="10"/>
        <v>6023</v>
      </c>
      <c r="P57" s="17">
        <f t="shared" si="6"/>
        <v>11686</v>
      </c>
      <c r="Q57" s="18">
        <f>(O57+N57)/B57*100</f>
        <v>486.9166666666667</v>
      </c>
      <c r="R57" s="16"/>
      <c r="S57" s="19">
        <f>'[1]มี.ค.'!U58</f>
        <v>0</v>
      </c>
      <c r="T57" s="16"/>
      <c r="U57" s="16"/>
      <c r="V57" s="16"/>
    </row>
    <row r="58" spans="1:22" ht="21">
      <c r="A58" s="35" t="s">
        <v>72</v>
      </c>
      <c r="B58" s="38">
        <v>1000</v>
      </c>
      <c r="C58" s="17">
        <f>'[1]เม.ย.'!N58</f>
        <v>2200</v>
      </c>
      <c r="D58" s="17">
        <f>'[1]เม.ย.'!O58</f>
        <v>2288</v>
      </c>
      <c r="E58" s="17">
        <f>'[1]เม.ย.'!P58</f>
        <v>4488</v>
      </c>
      <c r="F58" s="28">
        <v>29</v>
      </c>
      <c r="G58" s="28">
        <v>12</v>
      </c>
      <c r="H58" s="28">
        <v>68</v>
      </c>
      <c r="I58" s="28">
        <v>125</v>
      </c>
      <c r="J58" s="28">
        <v>108</v>
      </c>
      <c r="K58" s="28">
        <v>47</v>
      </c>
      <c r="L58" s="28">
        <v>16</v>
      </c>
      <c r="M58" s="28">
        <v>9</v>
      </c>
      <c r="N58" s="28">
        <f t="shared" si="10"/>
        <v>2421</v>
      </c>
      <c r="O58" s="42">
        <f t="shared" si="10"/>
        <v>2481</v>
      </c>
      <c r="P58" s="17">
        <f t="shared" si="6"/>
        <v>4902</v>
      </c>
      <c r="Q58" s="35"/>
      <c r="R58" s="35"/>
      <c r="S58" s="19">
        <f>'[1]มี.ค.'!U59</f>
        <v>0</v>
      </c>
      <c r="T58" s="35"/>
      <c r="U58" s="35"/>
      <c r="V58" s="35"/>
    </row>
    <row r="59" spans="1:22" ht="21">
      <c r="A59" s="35" t="s">
        <v>73</v>
      </c>
      <c r="B59" s="38">
        <v>800</v>
      </c>
      <c r="C59" s="17">
        <f>'[1]เม.ย.'!N59</f>
        <v>2211</v>
      </c>
      <c r="D59" s="17">
        <f>'[1]เม.ย.'!O59</f>
        <v>2342</v>
      </c>
      <c r="E59" s="17">
        <f>'[1]เม.ย.'!P59</f>
        <v>4553</v>
      </c>
      <c r="F59" s="28">
        <v>18</v>
      </c>
      <c r="G59" s="28">
        <v>25</v>
      </c>
      <c r="H59" s="28">
        <v>18</v>
      </c>
      <c r="I59" s="28">
        <v>58</v>
      </c>
      <c r="J59" s="28">
        <v>36</v>
      </c>
      <c r="K59" s="28">
        <v>24</v>
      </c>
      <c r="L59" s="28">
        <v>14</v>
      </c>
      <c r="M59" s="28"/>
      <c r="N59" s="28">
        <f t="shared" si="10"/>
        <v>2297</v>
      </c>
      <c r="O59" s="42">
        <f t="shared" si="10"/>
        <v>2449</v>
      </c>
      <c r="P59" s="17">
        <f t="shared" si="6"/>
        <v>4746</v>
      </c>
      <c r="Q59" s="35"/>
      <c r="R59" s="35"/>
      <c r="S59" s="19">
        <f>'[1]มี.ค.'!U60</f>
        <v>0</v>
      </c>
      <c r="T59" s="35"/>
      <c r="U59" s="35"/>
      <c r="V59" s="35"/>
    </row>
    <row r="60" spans="1:22" ht="42">
      <c r="A60" s="43" t="s">
        <v>74</v>
      </c>
      <c r="B60" s="38">
        <v>700</v>
      </c>
      <c r="C60" s="17">
        <f>'[1]เม.ย.'!N60</f>
        <v>871</v>
      </c>
      <c r="D60" s="17">
        <f>'[1]เม.ย.'!O60</f>
        <v>1034</v>
      </c>
      <c r="E60" s="17">
        <f>'[1]เม.ย.'!P60</f>
        <v>1905</v>
      </c>
      <c r="F60" s="28">
        <v>27</v>
      </c>
      <c r="G60" s="28">
        <v>15</v>
      </c>
      <c r="H60" s="28">
        <v>18</v>
      </c>
      <c r="I60" s="17">
        <v>22</v>
      </c>
      <c r="J60" s="17">
        <v>15</v>
      </c>
      <c r="K60" s="17">
        <v>9</v>
      </c>
      <c r="L60" s="17">
        <v>14</v>
      </c>
      <c r="M60" s="17">
        <v>13</v>
      </c>
      <c r="N60" s="28">
        <f t="shared" si="10"/>
        <v>945</v>
      </c>
      <c r="O60" s="42">
        <f t="shared" si="10"/>
        <v>1093</v>
      </c>
      <c r="P60" s="17">
        <f t="shared" si="6"/>
        <v>2038</v>
      </c>
      <c r="Q60" s="35"/>
      <c r="R60" s="35"/>
      <c r="S60" s="19">
        <f>'[1]มี.ค.'!U61</f>
        <v>0</v>
      </c>
      <c r="T60" s="35"/>
      <c r="U60" s="35"/>
      <c r="V60" s="35"/>
    </row>
    <row r="61" spans="1:22" s="6" customFormat="1" ht="21">
      <c r="A61" s="44" t="s">
        <v>75</v>
      </c>
      <c r="B61" s="45">
        <v>62000</v>
      </c>
      <c r="C61" s="17">
        <f>'[1]เม.ย.'!N61</f>
        <v>9887</v>
      </c>
      <c r="D61" s="17">
        <f>'[1]เม.ย.'!O61</f>
        <v>10138</v>
      </c>
      <c r="E61" s="17">
        <f>'[1]เม.ย.'!P61</f>
        <v>20025</v>
      </c>
      <c r="F61" s="17">
        <f>SUM(F62)</f>
        <v>251</v>
      </c>
      <c r="G61" s="17">
        <f aca="true" t="shared" si="11" ref="G61:M61">SUM(G62)</f>
        <v>267</v>
      </c>
      <c r="H61" s="17">
        <f t="shared" si="11"/>
        <v>614</v>
      </c>
      <c r="I61" s="17">
        <f t="shared" si="11"/>
        <v>707</v>
      </c>
      <c r="J61" s="17">
        <v>25</v>
      </c>
      <c r="K61" s="17">
        <f t="shared" si="11"/>
        <v>1187</v>
      </c>
      <c r="L61" s="17">
        <f t="shared" si="11"/>
        <v>359</v>
      </c>
      <c r="M61" s="17">
        <f t="shared" si="11"/>
        <v>406</v>
      </c>
      <c r="N61" s="41">
        <f>C61+F61+H61+J61+L61</f>
        <v>11136</v>
      </c>
      <c r="O61" s="41">
        <f>D61+G61+I61+K61+M61</f>
        <v>12705</v>
      </c>
      <c r="P61" s="17">
        <f>SUM(P62:P62)</f>
        <v>24837</v>
      </c>
      <c r="Q61" s="46">
        <f>P61/B61*100</f>
        <v>40.05967741935484</v>
      </c>
      <c r="R61" s="17">
        <v>345440</v>
      </c>
      <c r="S61" s="19">
        <f>'[1]มี.ค.'!U62</f>
        <v>143480</v>
      </c>
      <c r="T61" s="47">
        <v>57800</v>
      </c>
      <c r="U61" s="45">
        <f>S61+T61</f>
        <v>201280</v>
      </c>
      <c r="V61" s="48">
        <f>U61/R61*100</f>
        <v>58.26771653543307</v>
      </c>
    </row>
    <row r="62" spans="1:22" ht="21">
      <c r="A62" s="35" t="s">
        <v>76</v>
      </c>
      <c r="B62" s="38">
        <v>62000</v>
      </c>
      <c r="C62" s="17">
        <f>'[1]เม.ย.'!N62</f>
        <v>9887</v>
      </c>
      <c r="D62" s="17">
        <f>'[1]เม.ย.'!O62</f>
        <v>10138</v>
      </c>
      <c r="E62" s="17">
        <f>'[1]เม.ย.'!P62</f>
        <v>20025</v>
      </c>
      <c r="F62" s="28">
        <v>251</v>
      </c>
      <c r="G62" s="28">
        <v>267</v>
      </c>
      <c r="H62" s="28">
        <v>614</v>
      </c>
      <c r="I62" s="28">
        <v>707</v>
      </c>
      <c r="J62" s="28">
        <v>1021</v>
      </c>
      <c r="K62" s="28">
        <v>1187</v>
      </c>
      <c r="L62" s="28">
        <v>359</v>
      </c>
      <c r="M62" s="28">
        <v>406</v>
      </c>
      <c r="N62" s="41">
        <f>C62+F62+H62+J62+L62</f>
        <v>12132</v>
      </c>
      <c r="O62" s="41">
        <f>D62+G62+I62+K62+M62</f>
        <v>12705</v>
      </c>
      <c r="P62" s="41">
        <f>SUM(N62:O62)</f>
        <v>24837</v>
      </c>
      <c r="Q62" s="46"/>
      <c r="R62" s="35"/>
      <c r="S62" s="19">
        <f>'[1]มี.ค.'!U63</f>
        <v>0</v>
      </c>
      <c r="T62" s="35"/>
      <c r="U62" s="35"/>
      <c r="V62" s="35"/>
    </row>
    <row r="63" spans="1:22" ht="21">
      <c r="A63" s="49" t="s">
        <v>77</v>
      </c>
      <c r="B63" s="34"/>
      <c r="C63" s="17">
        <f>'[1]เม.ย.'!N64</f>
        <v>0</v>
      </c>
      <c r="D63" s="17">
        <f>'[1]เม.ย.'!O64</f>
        <v>0</v>
      </c>
      <c r="E63" s="17">
        <f>'[1]เม.ย.'!P64</f>
        <v>0</v>
      </c>
      <c r="F63" s="26"/>
      <c r="G63" s="26"/>
      <c r="H63" s="26"/>
      <c r="I63" s="26"/>
      <c r="J63" s="26"/>
      <c r="K63" s="26"/>
      <c r="L63" s="26"/>
      <c r="M63" s="26"/>
      <c r="N63" s="16"/>
      <c r="O63" s="16"/>
      <c r="P63" s="16"/>
      <c r="Q63" s="35"/>
      <c r="R63" s="35"/>
      <c r="S63" s="19">
        <f>'[1]มี.ค.'!U65</f>
        <v>0</v>
      </c>
      <c r="T63" s="35"/>
      <c r="U63" s="35"/>
      <c r="V63" s="35"/>
    </row>
    <row r="64" spans="1:22" s="4" customFormat="1" ht="21">
      <c r="A64" s="16" t="s">
        <v>78</v>
      </c>
      <c r="B64" s="16">
        <v>489</v>
      </c>
      <c r="C64" s="17">
        <f>'[1]เม.ย.'!N65</f>
        <v>264</v>
      </c>
      <c r="D64" s="17">
        <f>'[1]เม.ย.'!O65</f>
        <v>225</v>
      </c>
      <c r="E64" s="17">
        <f>'[1]เม.ย.'!P65</f>
        <v>489</v>
      </c>
      <c r="F64" s="16">
        <v>5</v>
      </c>
      <c r="G64" s="16">
        <v>6</v>
      </c>
      <c r="H64" s="16">
        <v>135</v>
      </c>
      <c r="I64" s="16">
        <v>124</v>
      </c>
      <c r="J64" s="16">
        <v>69</v>
      </c>
      <c r="K64" s="16">
        <v>28</v>
      </c>
      <c r="L64" s="16"/>
      <c r="M64" s="16"/>
      <c r="N64" s="16">
        <f aca="true" t="shared" si="12" ref="N64:O79">C64+F64+H64+J64+L64</f>
        <v>473</v>
      </c>
      <c r="O64" s="16">
        <f t="shared" si="12"/>
        <v>383</v>
      </c>
      <c r="P64" s="16">
        <f>SUM(N64:O64)</f>
        <v>856</v>
      </c>
      <c r="Q64" s="18">
        <f>P64/B64*100</f>
        <v>175.05112474437627</v>
      </c>
      <c r="R64" s="19">
        <v>361301</v>
      </c>
      <c r="S64" s="19">
        <f>'[1]มี.ค.'!U66</f>
        <v>169621</v>
      </c>
      <c r="T64" s="19">
        <v>190330</v>
      </c>
      <c r="U64" s="19">
        <f>SUM(S64:T64)</f>
        <v>359951</v>
      </c>
      <c r="V64" s="22">
        <f>U64/R64*100</f>
        <v>99.62635032839654</v>
      </c>
    </row>
    <row r="65" spans="1:22" s="4" customFormat="1" ht="21">
      <c r="A65" s="16" t="s">
        <v>79</v>
      </c>
      <c r="B65" s="16">
        <v>856</v>
      </c>
      <c r="C65" s="17">
        <f>'[1]เม.ย.'!N66</f>
        <v>491</v>
      </c>
      <c r="D65" s="17">
        <f>'[1]เม.ย.'!O66</f>
        <v>418</v>
      </c>
      <c r="E65" s="17">
        <f>'[1]เม.ย.'!P66</f>
        <v>909</v>
      </c>
      <c r="F65" s="16"/>
      <c r="G65" s="16"/>
      <c r="H65" s="16"/>
      <c r="I65" s="16"/>
      <c r="J65" s="16"/>
      <c r="K65" s="16"/>
      <c r="L65" s="16"/>
      <c r="M65" s="16"/>
      <c r="N65" s="16">
        <f>C65+F65+H65+J65+L65</f>
        <v>491</v>
      </c>
      <c r="O65" s="16">
        <f t="shared" si="12"/>
        <v>418</v>
      </c>
      <c r="P65" s="16">
        <f>SUM(N65:O65)</f>
        <v>909</v>
      </c>
      <c r="Q65" s="18">
        <f>P65/B65*100</f>
        <v>106.19158878504673</v>
      </c>
      <c r="R65" s="19">
        <v>468990</v>
      </c>
      <c r="S65" s="19">
        <f>'[1]มี.ค.'!U67</f>
        <v>193080</v>
      </c>
      <c r="T65" s="19">
        <v>36040</v>
      </c>
      <c r="U65" s="19">
        <f>SUM(S65:T65)</f>
        <v>229120</v>
      </c>
      <c r="V65" s="18">
        <f>U65/R65*100</f>
        <v>48.85392012622871</v>
      </c>
    </row>
    <row r="66" spans="1:22" ht="32.25" customHeight="1">
      <c r="A66" s="50" t="s">
        <v>80</v>
      </c>
      <c r="B66" s="26">
        <v>180</v>
      </c>
      <c r="C66" s="17">
        <f>'[1]เม.ย.'!N67</f>
        <v>78</v>
      </c>
      <c r="D66" s="17">
        <f>'[1]เม.ย.'!O67</f>
        <v>102</v>
      </c>
      <c r="E66" s="17">
        <f>'[1]เม.ย.'!P67</f>
        <v>180</v>
      </c>
      <c r="F66" s="26"/>
      <c r="G66" s="26"/>
      <c r="H66" s="26"/>
      <c r="I66" s="26"/>
      <c r="J66" s="26"/>
      <c r="K66" s="26"/>
      <c r="L66" s="26"/>
      <c r="M66" s="26"/>
      <c r="N66" s="26">
        <f t="shared" si="12"/>
        <v>78</v>
      </c>
      <c r="O66" s="26">
        <f t="shared" si="12"/>
        <v>102</v>
      </c>
      <c r="P66" s="26">
        <f>SUM(N66:O66)</f>
        <v>180</v>
      </c>
      <c r="Q66" s="26"/>
      <c r="R66" s="35"/>
      <c r="S66" s="19">
        <f>'[1]มี.ค.'!U68</f>
        <v>54160</v>
      </c>
      <c r="T66" s="51"/>
      <c r="U66" s="51">
        <f>T66+S66</f>
        <v>54160</v>
      </c>
      <c r="V66" s="35"/>
    </row>
    <row r="67" spans="1:22" ht="42">
      <c r="A67" s="52" t="s">
        <v>81</v>
      </c>
      <c r="B67" s="35">
        <v>60</v>
      </c>
      <c r="C67" s="17">
        <f>'[1]เม.ย.'!N68</f>
        <v>33</v>
      </c>
      <c r="D67" s="17">
        <f>'[1]เม.ย.'!O68</f>
        <v>30</v>
      </c>
      <c r="E67" s="17">
        <f>'[1]เม.ย.'!P68</f>
        <v>63</v>
      </c>
      <c r="F67" s="26"/>
      <c r="G67" s="26"/>
      <c r="H67" s="26"/>
      <c r="I67" s="26"/>
      <c r="J67" s="26"/>
      <c r="K67" s="26"/>
      <c r="L67" s="26"/>
      <c r="M67" s="26"/>
      <c r="N67" s="53">
        <f>C67+F67+H67+J67+L67</f>
        <v>33</v>
      </c>
      <c r="O67" s="53">
        <f t="shared" si="12"/>
        <v>30</v>
      </c>
      <c r="P67" s="53">
        <f aca="true" t="shared" si="13" ref="P67:P80">SUM(N67:O67)</f>
        <v>63</v>
      </c>
      <c r="Q67" s="16"/>
      <c r="R67" s="35"/>
      <c r="S67" s="19">
        <f>'[1]มี.ค.'!U69</f>
        <v>0</v>
      </c>
      <c r="T67" s="51"/>
      <c r="U67" s="35"/>
      <c r="V67" s="35"/>
    </row>
    <row r="68" spans="1:22" ht="21">
      <c r="A68" s="52" t="s">
        <v>82</v>
      </c>
      <c r="B68" s="35">
        <v>200</v>
      </c>
      <c r="C68" s="17">
        <f>'[1]เม.ย.'!N69</f>
        <v>126</v>
      </c>
      <c r="D68" s="17">
        <f>'[1]เม.ย.'!O69</f>
        <v>77</v>
      </c>
      <c r="E68" s="17">
        <f>'[1]เม.ย.'!P69</f>
        <v>203</v>
      </c>
      <c r="F68" s="26"/>
      <c r="G68" s="26"/>
      <c r="H68" s="26"/>
      <c r="I68" s="26"/>
      <c r="J68" s="26"/>
      <c r="K68" s="26"/>
      <c r="L68" s="26"/>
      <c r="M68" s="26"/>
      <c r="N68" s="53">
        <f>C68+F68+H68+J68+L68</f>
        <v>126</v>
      </c>
      <c r="O68" s="53">
        <f>D68+G68+I68+K68+M68</f>
        <v>77</v>
      </c>
      <c r="P68" s="53">
        <f>SUM(N68:O68)</f>
        <v>203</v>
      </c>
      <c r="Q68" s="16"/>
      <c r="R68" s="35"/>
      <c r="S68" s="19">
        <f>'[1]มี.ค.'!U70</f>
        <v>0</v>
      </c>
      <c r="T68" s="51"/>
      <c r="U68" s="35"/>
      <c r="V68" s="35"/>
    </row>
    <row r="69" spans="1:22" ht="21">
      <c r="A69" s="52" t="s">
        <v>83</v>
      </c>
      <c r="B69" s="35"/>
      <c r="C69" s="17">
        <f>'[1]เม.ย.'!N70</f>
        <v>22</v>
      </c>
      <c r="D69" s="17">
        <f>'[1]เม.ย.'!O70</f>
        <v>28</v>
      </c>
      <c r="E69" s="17">
        <f>'[1]เม.ย.'!P70</f>
        <v>50</v>
      </c>
      <c r="F69" s="26"/>
      <c r="G69" s="26"/>
      <c r="H69" s="26"/>
      <c r="I69" s="26"/>
      <c r="J69" s="26"/>
      <c r="K69" s="26"/>
      <c r="L69" s="26"/>
      <c r="M69" s="26"/>
      <c r="N69" s="53">
        <f>C69+F69+H69+J69+L69</f>
        <v>22</v>
      </c>
      <c r="O69" s="53">
        <f>D69+G69+I69+K69+M69</f>
        <v>28</v>
      </c>
      <c r="P69" s="53">
        <f>SUM(N69:O69)</f>
        <v>50</v>
      </c>
      <c r="Q69" s="16"/>
      <c r="R69" s="35"/>
      <c r="S69" s="19">
        <f>'[1]มี.ค.'!U71</f>
        <v>0</v>
      </c>
      <c r="T69" s="51"/>
      <c r="U69" s="35"/>
      <c r="V69" s="35"/>
    </row>
    <row r="70" spans="1:22" ht="63">
      <c r="A70" s="52" t="s">
        <v>84</v>
      </c>
      <c r="B70" s="35"/>
      <c r="C70" s="17">
        <f>'[1]เม.ย.'!N71</f>
        <v>232</v>
      </c>
      <c r="D70" s="17">
        <f>'[1]เม.ย.'!O71</f>
        <v>181</v>
      </c>
      <c r="E70" s="17">
        <f>'[1]เม.ย.'!P71</f>
        <v>413</v>
      </c>
      <c r="F70" s="26"/>
      <c r="G70" s="26"/>
      <c r="H70" s="26"/>
      <c r="I70" s="26"/>
      <c r="J70" s="26"/>
      <c r="K70" s="26"/>
      <c r="L70" s="26"/>
      <c r="M70" s="26"/>
      <c r="N70" s="53">
        <f>C70+F70+H70+J70+L70</f>
        <v>232</v>
      </c>
      <c r="O70" s="53">
        <f>D70+G70+I70+K70+M70</f>
        <v>181</v>
      </c>
      <c r="P70" s="53">
        <f>SUM(N70:O70)</f>
        <v>413</v>
      </c>
      <c r="Q70" s="16"/>
      <c r="R70" s="35"/>
      <c r="S70" s="19"/>
      <c r="T70" s="51"/>
      <c r="U70" s="35"/>
      <c r="V70" s="35"/>
    </row>
    <row r="71" spans="1:22" s="59" customFormat="1" ht="21">
      <c r="A71" s="53" t="s">
        <v>85</v>
      </c>
      <c r="B71" s="54">
        <v>856</v>
      </c>
      <c r="C71" s="17">
        <f>'[1]เม.ย.'!N72</f>
        <v>534</v>
      </c>
      <c r="D71" s="17">
        <f>'[1]เม.ย.'!O72</f>
        <v>322</v>
      </c>
      <c r="E71" s="17">
        <f>'[1]เม.ย.'!P72</f>
        <v>856</v>
      </c>
      <c r="F71" s="53">
        <f>SUM(F72:F74)</f>
        <v>29</v>
      </c>
      <c r="G71" s="53">
        <f aca="true" t="shared" si="14" ref="G71:M71">SUM(G72:G74)</f>
        <v>17</v>
      </c>
      <c r="H71" s="53">
        <f t="shared" si="14"/>
        <v>483</v>
      </c>
      <c r="I71" s="53">
        <f t="shared" si="14"/>
        <v>316</v>
      </c>
      <c r="J71" s="53">
        <f t="shared" si="14"/>
        <v>20</v>
      </c>
      <c r="K71" s="53">
        <f t="shared" si="14"/>
        <v>28</v>
      </c>
      <c r="L71" s="53">
        <f t="shared" si="14"/>
        <v>1</v>
      </c>
      <c r="M71" s="53">
        <f t="shared" si="14"/>
        <v>1</v>
      </c>
      <c r="N71" s="53">
        <f>C71+F71+H71+J71+L71</f>
        <v>1067</v>
      </c>
      <c r="O71" s="53">
        <f t="shared" si="12"/>
        <v>684</v>
      </c>
      <c r="P71" s="53">
        <f t="shared" si="13"/>
        <v>1751</v>
      </c>
      <c r="Q71" s="55">
        <f>P71/B71*100</f>
        <v>204.55607476635515</v>
      </c>
      <c r="R71" s="56">
        <v>1492328</v>
      </c>
      <c r="S71" s="19">
        <f>'[1]มี.ค.'!U72</f>
        <v>624280.45</v>
      </c>
      <c r="T71" s="57">
        <v>148167</v>
      </c>
      <c r="U71" s="58">
        <f>S71+T71</f>
        <v>772447.45</v>
      </c>
      <c r="V71" s="46">
        <f>U71/R71*100</f>
        <v>51.761238146037606</v>
      </c>
    </row>
    <row r="72" spans="1:22" s="61" customFormat="1" ht="21">
      <c r="A72" s="60" t="s">
        <v>86</v>
      </c>
      <c r="B72" s="60"/>
      <c r="C72" s="17">
        <f>'[1]เม.ย.'!N73</f>
        <v>33</v>
      </c>
      <c r="D72" s="17">
        <f>'[1]เม.ย.'!O73</f>
        <v>21</v>
      </c>
      <c r="E72" s="17">
        <f>'[1]เม.ย.'!P73</f>
        <v>54</v>
      </c>
      <c r="F72" s="60">
        <v>1</v>
      </c>
      <c r="G72" s="60"/>
      <c r="H72" s="60">
        <v>10</v>
      </c>
      <c r="I72" s="60">
        <v>30</v>
      </c>
      <c r="J72" s="60">
        <v>7</v>
      </c>
      <c r="K72" s="60">
        <v>4</v>
      </c>
      <c r="L72" s="60">
        <v>1</v>
      </c>
      <c r="M72" s="60">
        <v>1</v>
      </c>
      <c r="N72" s="53">
        <f t="shared" si="12"/>
        <v>52</v>
      </c>
      <c r="O72" s="53">
        <f t="shared" si="12"/>
        <v>56</v>
      </c>
      <c r="P72" s="53">
        <f t="shared" si="13"/>
        <v>108</v>
      </c>
      <c r="Q72" s="60"/>
      <c r="R72" s="60"/>
      <c r="S72" s="19">
        <f>'[1]มี.ค.'!U73</f>
        <v>0</v>
      </c>
      <c r="T72" s="60"/>
      <c r="U72" s="60"/>
      <c r="V72" s="60"/>
    </row>
    <row r="73" spans="1:22" s="61" customFormat="1" ht="21">
      <c r="A73" s="60" t="s">
        <v>87</v>
      </c>
      <c r="B73" s="60"/>
      <c r="C73" s="17">
        <f>'[1]เม.ย.'!N74</f>
        <v>264</v>
      </c>
      <c r="D73" s="17">
        <f>'[1]เม.ย.'!O74</f>
        <v>152</v>
      </c>
      <c r="E73" s="17">
        <f>'[1]เม.ย.'!P74</f>
        <v>416</v>
      </c>
      <c r="F73" s="60">
        <v>28</v>
      </c>
      <c r="G73" s="60">
        <v>17</v>
      </c>
      <c r="H73" s="60">
        <v>235</v>
      </c>
      <c r="I73" s="60">
        <v>127</v>
      </c>
      <c r="J73" s="60">
        <v>2</v>
      </c>
      <c r="K73" s="60">
        <v>16</v>
      </c>
      <c r="L73" s="60"/>
      <c r="M73" s="60"/>
      <c r="N73" s="53">
        <f t="shared" si="12"/>
        <v>529</v>
      </c>
      <c r="O73" s="53">
        <f t="shared" si="12"/>
        <v>312</v>
      </c>
      <c r="P73" s="53">
        <f t="shared" si="13"/>
        <v>841</v>
      </c>
      <c r="Q73" s="60"/>
      <c r="R73" s="60"/>
      <c r="S73" s="19">
        <f>'[1]มี.ค.'!U74</f>
        <v>0</v>
      </c>
      <c r="T73" s="60"/>
      <c r="U73" s="60"/>
      <c r="V73" s="60"/>
    </row>
    <row r="74" spans="1:22" s="61" customFormat="1" ht="21">
      <c r="A74" s="60" t="s">
        <v>88</v>
      </c>
      <c r="B74" s="60"/>
      <c r="C74" s="17">
        <f>'[1]เม.ย.'!N75</f>
        <v>237</v>
      </c>
      <c r="D74" s="17">
        <f>'[1]เม.ย.'!O75</f>
        <v>149</v>
      </c>
      <c r="E74" s="17">
        <f>'[1]เม.ย.'!P75</f>
        <v>386</v>
      </c>
      <c r="F74" s="60"/>
      <c r="G74" s="60"/>
      <c r="H74" s="60">
        <v>238</v>
      </c>
      <c r="I74" s="60">
        <v>159</v>
      </c>
      <c r="J74" s="60">
        <v>11</v>
      </c>
      <c r="K74" s="60">
        <v>8</v>
      </c>
      <c r="L74" s="60"/>
      <c r="M74" s="60"/>
      <c r="N74" s="53">
        <f t="shared" si="12"/>
        <v>486</v>
      </c>
      <c r="O74" s="53">
        <f t="shared" si="12"/>
        <v>316</v>
      </c>
      <c r="P74" s="53">
        <f t="shared" si="13"/>
        <v>802</v>
      </c>
      <c r="Q74" s="60"/>
      <c r="R74" s="60"/>
      <c r="S74" s="19">
        <f>'[1]มี.ค.'!U75</f>
        <v>0</v>
      </c>
      <c r="T74" s="60"/>
      <c r="U74" s="60"/>
      <c r="V74" s="60"/>
    </row>
    <row r="75" spans="1:22" s="4" customFormat="1" ht="21">
      <c r="A75" s="16" t="s">
        <v>89</v>
      </c>
      <c r="B75" s="16"/>
      <c r="C75" s="17">
        <f>'[1]เม.ย.'!N76</f>
        <v>53</v>
      </c>
      <c r="D75" s="17">
        <f>'[1]เม.ย.'!O76</f>
        <v>36</v>
      </c>
      <c r="E75" s="17">
        <f>'[1]เม.ย.'!P76</f>
        <v>89</v>
      </c>
      <c r="F75" s="16">
        <f>SUM(F76:F78)</f>
        <v>0</v>
      </c>
      <c r="G75" s="16">
        <f aca="true" t="shared" si="15" ref="G75:M75">SUM(G76:G78)</f>
        <v>0</v>
      </c>
      <c r="H75" s="16">
        <f t="shared" si="15"/>
        <v>52</v>
      </c>
      <c r="I75" s="16">
        <f t="shared" si="15"/>
        <v>53</v>
      </c>
      <c r="J75" s="16">
        <f t="shared" si="15"/>
        <v>0</v>
      </c>
      <c r="K75" s="16">
        <f t="shared" si="15"/>
        <v>0</v>
      </c>
      <c r="L75" s="16">
        <f t="shared" si="15"/>
        <v>0</v>
      </c>
      <c r="M75" s="16">
        <f t="shared" si="15"/>
        <v>0</v>
      </c>
      <c r="N75" s="16">
        <f t="shared" si="12"/>
        <v>105</v>
      </c>
      <c r="O75" s="16">
        <f t="shared" si="12"/>
        <v>89</v>
      </c>
      <c r="P75" s="16">
        <f t="shared" si="13"/>
        <v>194</v>
      </c>
      <c r="Q75" s="18"/>
      <c r="R75" s="16"/>
      <c r="S75" s="19">
        <f>'[1]มี.ค.'!U76</f>
        <v>0</v>
      </c>
      <c r="T75" s="16"/>
      <c r="U75" s="16"/>
      <c r="V75" s="16"/>
    </row>
    <row r="76" spans="1:22" s="2" customFormat="1" ht="21">
      <c r="A76" s="26" t="s">
        <v>86</v>
      </c>
      <c r="B76" s="26"/>
      <c r="C76" s="17">
        <f>'[1]เม.ย.'!N77</f>
        <v>1</v>
      </c>
      <c r="D76" s="17">
        <f>'[1]เม.ย.'!O77</f>
        <v>0</v>
      </c>
      <c r="E76" s="17">
        <f>'[1]เม.ย.'!P77</f>
        <v>1</v>
      </c>
      <c r="F76" s="26"/>
      <c r="G76" s="26"/>
      <c r="H76" s="26"/>
      <c r="I76" s="26">
        <v>1</v>
      </c>
      <c r="J76" s="26"/>
      <c r="K76" s="26"/>
      <c r="L76" s="26"/>
      <c r="M76" s="26"/>
      <c r="N76" s="16">
        <f t="shared" si="12"/>
        <v>1</v>
      </c>
      <c r="O76" s="16">
        <f t="shared" si="12"/>
        <v>1</v>
      </c>
      <c r="P76" s="16">
        <f t="shared" si="13"/>
        <v>2</v>
      </c>
      <c r="Q76" s="26"/>
      <c r="R76" s="26"/>
      <c r="S76" s="19">
        <f>'[1]มี.ค.'!U77</f>
        <v>0</v>
      </c>
      <c r="T76" s="26"/>
      <c r="U76" s="26"/>
      <c r="V76" s="26"/>
    </row>
    <row r="77" spans="1:22" s="2" customFormat="1" ht="21">
      <c r="A77" s="26" t="s">
        <v>87</v>
      </c>
      <c r="B77" s="26"/>
      <c r="C77" s="17">
        <f>'[1]เม.ย.'!N78</f>
        <v>19</v>
      </c>
      <c r="D77" s="17">
        <f>'[1]เม.ย.'!O78</f>
        <v>15</v>
      </c>
      <c r="E77" s="17">
        <f>'[1]เม.ย.'!P78</f>
        <v>34</v>
      </c>
      <c r="F77" s="26"/>
      <c r="G77" s="26"/>
      <c r="H77" s="26">
        <v>20</v>
      </c>
      <c r="I77" s="26">
        <v>20</v>
      </c>
      <c r="J77" s="26"/>
      <c r="K77" s="26"/>
      <c r="L77" s="26"/>
      <c r="M77" s="26"/>
      <c r="N77" s="16">
        <f>C77+F77+H77+J77+L77</f>
        <v>39</v>
      </c>
      <c r="O77" s="16">
        <f t="shared" si="12"/>
        <v>35</v>
      </c>
      <c r="P77" s="16">
        <f t="shared" si="13"/>
        <v>74</v>
      </c>
      <c r="Q77" s="26"/>
      <c r="R77" s="26"/>
      <c r="S77" s="19">
        <f>'[1]มี.ค.'!U78</f>
        <v>0</v>
      </c>
      <c r="T77" s="26"/>
      <c r="U77" s="26"/>
      <c r="V77" s="26"/>
    </row>
    <row r="78" spans="1:22" s="2" customFormat="1" ht="21">
      <c r="A78" s="26" t="s">
        <v>88</v>
      </c>
      <c r="B78" s="26"/>
      <c r="C78" s="17">
        <f>'[1]เม.ย.'!N79</f>
        <v>33</v>
      </c>
      <c r="D78" s="17">
        <f>'[1]เม.ย.'!O79</f>
        <v>21</v>
      </c>
      <c r="E78" s="17">
        <f>'[1]เม.ย.'!P79</f>
        <v>54</v>
      </c>
      <c r="F78" s="26"/>
      <c r="G78" s="26"/>
      <c r="H78" s="26">
        <v>32</v>
      </c>
      <c r="I78" s="26">
        <v>32</v>
      </c>
      <c r="J78" s="26"/>
      <c r="K78" s="26"/>
      <c r="L78" s="26"/>
      <c r="M78" s="26"/>
      <c r="N78" s="16">
        <f>C78+F78+H78+J78+L78</f>
        <v>65</v>
      </c>
      <c r="O78" s="16">
        <f t="shared" si="12"/>
        <v>53</v>
      </c>
      <c r="P78" s="16">
        <f t="shared" si="13"/>
        <v>118</v>
      </c>
      <c r="Q78" s="26"/>
      <c r="R78" s="26"/>
      <c r="S78" s="19">
        <f>'[1]มี.ค.'!U79</f>
        <v>0</v>
      </c>
      <c r="T78" s="26"/>
      <c r="U78" s="26"/>
      <c r="V78" s="26"/>
    </row>
    <row r="79" spans="1:22" s="6" customFormat="1" ht="21">
      <c r="A79" s="44" t="s">
        <v>90</v>
      </c>
      <c r="B79" s="44">
        <v>2</v>
      </c>
      <c r="C79" s="17">
        <f>'[1]เม.ย.'!N80</f>
        <v>2</v>
      </c>
      <c r="D79" s="17">
        <f>'[1]เม.ย.'!O80</f>
        <v>0</v>
      </c>
      <c r="E79" s="17">
        <f>'[1]เม.ย.'!P80</f>
        <v>2</v>
      </c>
      <c r="F79" s="16"/>
      <c r="G79" s="16"/>
      <c r="H79" s="16">
        <v>2</v>
      </c>
      <c r="I79" s="16">
        <v>1</v>
      </c>
      <c r="J79" s="16">
        <v>9</v>
      </c>
      <c r="K79" s="16">
        <v>4</v>
      </c>
      <c r="L79" s="16"/>
      <c r="M79" s="16"/>
      <c r="N79" s="16">
        <f>C79+F79+H79+J79+L79</f>
        <v>13</v>
      </c>
      <c r="O79" s="16">
        <f t="shared" si="12"/>
        <v>5</v>
      </c>
      <c r="P79" s="16">
        <f t="shared" si="13"/>
        <v>18</v>
      </c>
      <c r="Q79" s="44"/>
      <c r="R79" s="47">
        <v>2600</v>
      </c>
      <c r="S79" s="19">
        <f>'[1]มี.ค.'!U80</f>
        <v>0</v>
      </c>
      <c r="T79" s="44"/>
      <c r="U79" s="44">
        <v>0</v>
      </c>
      <c r="V79" s="62">
        <f>U79/R79*100</f>
        <v>0</v>
      </c>
    </row>
    <row r="80" spans="1:22" s="6" customFormat="1" ht="42">
      <c r="A80" s="63" t="s">
        <v>91</v>
      </c>
      <c r="B80" s="44">
        <v>36</v>
      </c>
      <c r="C80" s="17">
        <f>'[1]เม.ย.'!N81</f>
        <v>21</v>
      </c>
      <c r="D80" s="17">
        <f>'[1]เม.ย.'!O81</f>
        <v>19</v>
      </c>
      <c r="E80" s="17">
        <f>'[1]เม.ย.'!P81</f>
        <v>40</v>
      </c>
      <c r="F80" s="16"/>
      <c r="G80" s="16"/>
      <c r="H80" s="16"/>
      <c r="I80" s="16"/>
      <c r="J80" s="16"/>
      <c r="K80" s="16"/>
      <c r="L80" s="16"/>
      <c r="M80" s="16"/>
      <c r="N80" s="16">
        <v>21</v>
      </c>
      <c r="O80" s="16">
        <v>19</v>
      </c>
      <c r="P80" s="16">
        <f t="shared" si="13"/>
        <v>40</v>
      </c>
      <c r="Q80" s="44"/>
      <c r="R80" s="47">
        <v>66800</v>
      </c>
      <c r="S80" s="19">
        <f>'[1]มี.ค.'!U81</f>
        <v>28500</v>
      </c>
      <c r="T80" s="47"/>
      <c r="U80" s="47">
        <f>T80+S80</f>
        <v>28500</v>
      </c>
      <c r="V80" s="46">
        <f>U80/R80*100</f>
        <v>42.66467065868264</v>
      </c>
    </row>
    <row r="81" spans="1:22" s="6" customFormat="1" ht="42">
      <c r="A81" s="63" t="s">
        <v>92</v>
      </c>
      <c r="B81" s="44"/>
      <c r="C81" s="17">
        <f>'[1]เม.ย.'!N82</f>
        <v>5</v>
      </c>
      <c r="D81" s="17">
        <f>'[1]เม.ย.'!O82</f>
        <v>1</v>
      </c>
      <c r="E81" s="17">
        <f>'[1]เม.ย.'!P82</f>
        <v>6</v>
      </c>
      <c r="F81" s="16"/>
      <c r="G81" s="16"/>
      <c r="H81" s="16"/>
      <c r="I81" s="16"/>
      <c r="J81" s="16"/>
      <c r="K81" s="16"/>
      <c r="L81" s="16"/>
      <c r="M81" s="16"/>
      <c r="N81" s="16">
        <v>5</v>
      </c>
      <c r="O81" s="16">
        <v>1</v>
      </c>
      <c r="P81" s="16">
        <v>6</v>
      </c>
      <c r="Q81" s="44"/>
      <c r="R81" s="44"/>
      <c r="S81" s="44"/>
      <c r="T81" s="44"/>
      <c r="U81" s="44"/>
      <c r="V81" s="44"/>
    </row>
    <row r="82" spans="1:22" s="67" customFormat="1" ht="21" hidden="1">
      <c r="A82" s="64" t="s">
        <v>93</v>
      </c>
      <c r="B82" s="65">
        <v>100</v>
      </c>
      <c r="C82" s="65">
        <v>68</v>
      </c>
      <c r="D82" s="65">
        <v>50</v>
      </c>
      <c r="E82" s="65">
        <f>D82+C82</f>
        <v>118</v>
      </c>
      <c r="F82" s="65"/>
      <c r="G82" s="65"/>
      <c r="H82" s="65"/>
      <c r="I82" s="65"/>
      <c r="J82" s="65"/>
      <c r="K82" s="65"/>
      <c r="L82" s="65"/>
      <c r="M82" s="65"/>
      <c r="N82" s="66">
        <v>68</v>
      </c>
      <c r="O82" s="66">
        <v>50</v>
      </c>
      <c r="P82" s="66">
        <v>118</v>
      </c>
      <c r="Q82" s="65"/>
      <c r="R82" s="65"/>
      <c r="S82" s="65"/>
      <c r="T82" s="65"/>
      <c r="U82" s="65"/>
      <c r="V82" s="65"/>
    </row>
  </sheetData>
  <sheetProtection/>
  <mergeCells count="19">
    <mergeCell ref="B8:V8"/>
    <mergeCell ref="S5:S7"/>
    <mergeCell ref="T5:T7"/>
    <mergeCell ref="U5:U7"/>
    <mergeCell ref="V5:V7"/>
    <mergeCell ref="F6:G6"/>
    <mergeCell ref="H6:I6"/>
    <mergeCell ref="J6:K6"/>
    <mergeCell ref="L6:M6"/>
    <mergeCell ref="A2:V2"/>
    <mergeCell ref="A3:V3"/>
    <mergeCell ref="A4:U4"/>
    <mergeCell ref="A5:A7"/>
    <mergeCell ref="B5:B7"/>
    <mergeCell ref="C5:E6"/>
    <mergeCell ref="F5:M5"/>
    <mergeCell ref="N5:P6"/>
    <mergeCell ref="Q5:Q7"/>
    <mergeCell ref="R5:R7"/>
  </mergeCells>
  <printOptions/>
  <pageMargins left="0.42" right="0.16" top="0.57" bottom="0.56" header="0.31496062992125984" footer="0.31496062992125984"/>
  <pageSetup horizontalDpi="600" verticalDpi="600" orientation="landscape" paperSize="9" scale="60" r:id="rId1"/>
  <rowBreaks count="2" manualBreakCount="2">
    <brk id="30" max="21" man="1"/>
    <brk id="5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4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3.8515625" style="0" customWidth="1"/>
    <col min="2" max="2" width="7.140625" style="0" customWidth="1"/>
    <col min="3" max="4" width="5.00390625" style="0" customWidth="1"/>
    <col min="5" max="5" width="8.00390625" style="0" customWidth="1"/>
    <col min="6" max="17" width="4.7109375" style="0" customWidth="1"/>
    <col min="18" max="19" width="8.140625" style="0" customWidth="1"/>
    <col min="20" max="23" width="8.421875" style="0" customWidth="1"/>
  </cols>
  <sheetData>
    <row r="2" spans="1:25" ht="22.5" customHeight="1">
      <c r="A2" s="354" t="s">
        <v>0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68"/>
      <c r="Y2" s="68"/>
    </row>
    <row r="3" spans="1:25" ht="22.5" customHeight="1">
      <c r="A3" s="354" t="s">
        <v>94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68"/>
      <c r="Y3" s="68"/>
    </row>
    <row r="4" spans="1:25" ht="22.5" customHeight="1">
      <c r="A4" s="355" t="s">
        <v>95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68"/>
      <c r="Y4" s="68"/>
    </row>
    <row r="5" spans="1:25" ht="22.5" customHeight="1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8"/>
      <c r="T5" s="68"/>
      <c r="U5" s="68"/>
      <c r="V5" s="68"/>
      <c r="W5" s="68"/>
      <c r="X5" s="68"/>
      <c r="Y5" s="68"/>
    </row>
    <row r="6" spans="1:25" ht="22.5" customHeight="1">
      <c r="A6" s="356" t="s">
        <v>3</v>
      </c>
      <c r="B6" s="349" t="s">
        <v>4</v>
      </c>
      <c r="C6" s="359" t="s">
        <v>5</v>
      </c>
      <c r="D6" s="360"/>
      <c r="E6" s="349" t="s">
        <v>96</v>
      </c>
      <c r="F6" s="361" t="s">
        <v>6</v>
      </c>
      <c r="G6" s="362"/>
      <c r="H6" s="362"/>
      <c r="I6" s="362"/>
      <c r="J6" s="362"/>
      <c r="K6" s="362"/>
      <c r="L6" s="362"/>
      <c r="M6" s="363"/>
      <c r="N6" s="70"/>
      <c r="O6" s="70"/>
      <c r="P6" s="359" t="s">
        <v>7</v>
      </c>
      <c r="Q6" s="360"/>
      <c r="R6" s="349" t="s">
        <v>8</v>
      </c>
      <c r="S6" s="349" t="s">
        <v>9</v>
      </c>
      <c r="T6" s="349" t="s">
        <v>10</v>
      </c>
      <c r="U6" s="349" t="s">
        <v>11</v>
      </c>
      <c r="V6" s="349" t="s">
        <v>12</v>
      </c>
      <c r="W6" s="349" t="s">
        <v>13</v>
      </c>
      <c r="X6" s="71"/>
      <c r="Y6" s="71"/>
    </row>
    <row r="7" spans="1:25" ht="87.75" customHeight="1">
      <c r="A7" s="357"/>
      <c r="B7" s="350"/>
      <c r="C7" s="344"/>
      <c r="D7" s="345"/>
      <c r="E7" s="351"/>
      <c r="F7" s="352" t="s">
        <v>14</v>
      </c>
      <c r="G7" s="353"/>
      <c r="H7" s="352" t="s">
        <v>15</v>
      </c>
      <c r="I7" s="353"/>
      <c r="J7" s="352" t="s">
        <v>16</v>
      </c>
      <c r="K7" s="353"/>
      <c r="L7" s="352" t="s">
        <v>17</v>
      </c>
      <c r="M7" s="353"/>
      <c r="N7" s="344" t="s">
        <v>97</v>
      </c>
      <c r="O7" s="345"/>
      <c r="P7" s="344"/>
      <c r="Q7" s="345"/>
      <c r="R7" s="350"/>
      <c r="S7" s="350"/>
      <c r="T7" s="350"/>
      <c r="U7" s="350"/>
      <c r="V7" s="350"/>
      <c r="W7" s="350"/>
      <c r="X7" s="71"/>
      <c r="Y7" s="71"/>
    </row>
    <row r="8" spans="1:25" ht="22.5" customHeight="1">
      <c r="A8" s="358"/>
      <c r="B8" s="351"/>
      <c r="C8" s="72" t="s">
        <v>18</v>
      </c>
      <c r="D8" s="72" t="s">
        <v>19</v>
      </c>
      <c r="E8" s="73" t="s">
        <v>98</v>
      </c>
      <c r="F8" s="72" t="s">
        <v>18</v>
      </c>
      <c r="G8" s="72" t="s">
        <v>19</v>
      </c>
      <c r="H8" s="72" t="s">
        <v>18</v>
      </c>
      <c r="I8" s="72" t="s">
        <v>19</v>
      </c>
      <c r="J8" s="72" t="s">
        <v>18</v>
      </c>
      <c r="K8" s="72" t="s">
        <v>19</v>
      </c>
      <c r="L8" s="72" t="s">
        <v>18</v>
      </c>
      <c r="M8" s="72" t="s">
        <v>19</v>
      </c>
      <c r="N8" s="72" t="s">
        <v>18</v>
      </c>
      <c r="O8" s="72" t="s">
        <v>19</v>
      </c>
      <c r="P8" s="72" t="s">
        <v>18</v>
      </c>
      <c r="Q8" s="72" t="s">
        <v>19</v>
      </c>
      <c r="R8" s="351"/>
      <c r="S8" s="351"/>
      <c r="T8" s="351"/>
      <c r="U8" s="351"/>
      <c r="V8" s="351"/>
      <c r="W8" s="351"/>
      <c r="X8" s="74"/>
      <c r="Y8" s="74"/>
    </row>
    <row r="9" spans="1:25" ht="22.5" customHeight="1">
      <c r="A9" s="75" t="s">
        <v>22</v>
      </c>
      <c r="B9" s="346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8"/>
      <c r="X9" s="76"/>
      <c r="Y9" s="76"/>
    </row>
    <row r="10" spans="1:25" ht="22.5" customHeight="1">
      <c r="A10" s="77" t="s">
        <v>23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80"/>
      <c r="T10" s="80"/>
      <c r="U10" s="80"/>
      <c r="V10" s="80"/>
      <c r="W10" s="80"/>
      <c r="X10" s="81"/>
      <c r="Y10" s="81"/>
    </row>
    <row r="11" spans="1:25" ht="22.5" customHeight="1">
      <c r="A11" s="82" t="s">
        <v>24</v>
      </c>
      <c r="B11" s="83"/>
      <c r="C11" s="84">
        <v>79</v>
      </c>
      <c r="D11" s="84">
        <v>63</v>
      </c>
      <c r="E11" s="84">
        <f>SUM(C11:D11)</f>
        <v>142</v>
      </c>
      <c r="F11" s="84"/>
      <c r="G11" s="84"/>
      <c r="H11" s="84">
        <v>9</v>
      </c>
      <c r="I11" s="84">
        <v>3</v>
      </c>
      <c r="J11" s="84">
        <v>12</v>
      </c>
      <c r="K11" s="84">
        <v>16</v>
      </c>
      <c r="L11" s="84">
        <v>5</v>
      </c>
      <c r="M11" s="84">
        <v>8</v>
      </c>
      <c r="N11" s="84">
        <f>F11+H11+J11+L11</f>
        <v>26</v>
      </c>
      <c r="O11" s="84">
        <f>G11+I11+K11+M11</f>
        <v>27</v>
      </c>
      <c r="P11" s="84">
        <f>C11+N11</f>
        <v>105</v>
      </c>
      <c r="Q11" s="84">
        <f>D11+O11</f>
        <v>90</v>
      </c>
      <c r="R11" s="85"/>
      <c r="S11" s="86"/>
      <c r="T11" s="86"/>
      <c r="U11" s="86"/>
      <c r="V11" s="86"/>
      <c r="W11" s="86"/>
      <c r="X11" s="87"/>
      <c r="Y11" s="87"/>
    </row>
    <row r="12" spans="1:25" ht="22.5" customHeight="1">
      <c r="A12" s="82"/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/>
      <c r="S12" s="86"/>
      <c r="T12" s="86"/>
      <c r="U12" s="86"/>
      <c r="V12" s="86"/>
      <c r="W12" s="86"/>
      <c r="X12" s="87"/>
      <c r="Y12" s="87"/>
    </row>
    <row r="13" spans="1:25" ht="22.5" customHeight="1">
      <c r="A13" s="21" t="s">
        <v>99</v>
      </c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5"/>
      <c r="S13" s="86"/>
      <c r="T13" s="86"/>
      <c r="U13" s="86"/>
      <c r="V13" s="86"/>
      <c r="W13" s="86"/>
      <c r="X13" s="87"/>
      <c r="Y13" s="87"/>
    </row>
    <row r="14" spans="1:25" ht="22.5" customHeight="1">
      <c r="A14" s="88" t="s">
        <v>100</v>
      </c>
      <c r="B14" s="83">
        <v>65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  <c r="S14" s="86"/>
      <c r="T14" s="86"/>
      <c r="U14" s="86"/>
      <c r="V14" s="86"/>
      <c r="W14" s="86"/>
      <c r="X14" s="87"/>
      <c r="Y14" s="87"/>
    </row>
    <row r="15" spans="1:25" ht="22.5" customHeight="1">
      <c r="A15" s="25" t="s">
        <v>101</v>
      </c>
      <c r="B15" s="83"/>
      <c r="C15" s="84">
        <v>0</v>
      </c>
      <c r="D15" s="84">
        <v>25</v>
      </c>
      <c r="E15" s="84">
        <f>SUM(C15:D15)</f>
        <v>25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/>
      <c r="S15" s="86"/>
      <c r="T15" s="86"/>
      <c r="U15" s="86"/>
      <c r="V15" s="86"/>
      <c r="W15" s="86"/>
      <c r="X15" s="87"/>
      <c r="Y15" s="87"/>
    </row>
    <row r="16" spans="1:25" ht="22.5" customHeight="1">
      <c r="A16" s="25" t="s">
        <v>102</v>
      </c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>
        <f>F16+H16+J16+L16</f>
        <v>0</v>
      </c>
      <c r="O16" s="84">
        <f>G16+I16+K16+M16</f>
        <v>0</v>
      </c>
      <c r="P16" s="84"/>
      <c r="Q16" s="84"/>
      <c r="R16" s="85"/>
      <c r="S16" s="86"/>
      <c r="T16" s="86"/>
      <c r="U16" s="86"/>
      <c r="V16" s="86"/>
      <c r="W16" s="86"/>
      <c r="X16" s="87"/>
      <c r="Y16" s="87"/>
    </row>
    <row r="17" spans="1:25" ht="22.5" customHeight="1">
      <c r="A17" s="25" t="s">
        <v>103</v>
      </c>
      <c r="B17" s="83"/>
      <c r="C17" s="84">
        <v>1</v>
      </c>
      <c r="D17" s="84">
        <v>19</v>
      </c>
      <c r="E17" s="84">
        <f>SUM(C17:D17)</f>
        <v>20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86"/>
      <c r="T17" s="86"/>
      <c r="U17" s="86"/>
      <c r="V17" s="86"/>
      <c r="W17" s="86"/>
      <c r="X17" s="87"/>
      <c r="Y17" s="87"/>
    </row>
    <row r="18" spans="1:23" ht="22.5" customHeight="1">
      <c r="A18" s="21" t="s">
        <v>104</v>
      </c>
      <c r="B18" s="83">
        <v>65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86"/>
      <c r="T18" s="86"/>
      <c r="U18" s="86"/>
      <c r="V18" s="86"/>
      <c r="W18" s="86"/>
    </row>
    <row r="19" spans="1:23" ht="22.5" customHeight="1">
      <c r="A19" s="25" t="s">
        <v>105</v>
      </c>
      <c r="B19" s="83"/>
      <c r="C19" s="84">
        <v>10</v>
      </c>
      <c r="D19" s="84">
        <v>15</v>
      </c>
      <c r="E19" s="84">
        <f>SUM(C19:D19)</f>
        <v>25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86"/>
      <c r="T19" s="86"/>
      <c r="U19" s="86"/>
      <c r="V19" s="86"/>
      <c r="W19" s="86"/>
    </row>
    <row r="20" spans="1:23" ht="22.5" customHeight="1">
      <c r="A20" s="25" t="s">
        <v>106</v>
      </c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86"/>
      <c r="T20" s="86"/>
      <c r="U20" s="86"/>
      <c r="V20" s="86"/>
      <c r="W20" s="86"/>
    </row>
    <row r="21" spans="1:23" ht="22.5" customHeight="1">
      <c r="A21" s="25" t="s">
        <v>107</v>
      </c>
      <c r="B21" s="83"/>
      <c r="C21" s="84">
        <v>8</v>
      </c>
      <c r="D21" s="84">
        <v>12</v>
      </c>
      <c r="E21" s="84">
        <f>SUM(C21:D21)</f>
        <v>20</v>
      </c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86"/>
      <c r="T21" s="86"/>
      <c r="U21" s="86"/>
      <c r="V21" s="86"/>
      <c r="W21" s="86"/>
    </row>
    <row r="22" spans="1:23" ht="22.5" customHeight="1">
      <c r="A22" s="21" t="s">
        <v>108</v>
      </c>
      <c r="B22" s="83">
        <v>65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86"/>
      <c r="T22" s="86"/>
      <c r="U22" s="86"/>
      <c r="V22" s="86"/>
      <c r="W22" s="86"/>
    </row>
    <row r="23" spans="1:23" ht="22.5" customHeight="1">
      <c r="A23" s="25" t="s">
        <v>105</v>
      </c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>
        <f>F23+H23+J23+L23</f>
        <v>0</v>
      </c>
      <c r="O23" s="84">
        <f>G23+I23+K23+M23</f>
        <v>0</v>
      </c>
      <c r="P23" s="84"/>
      <c r="Q23" s="84"/>
      <c r="R23" s="85"/>
      <c r="S23" s="86"/>
      <c r="T23" s="86"/>
      <c r="U23" s="86"/>
      <c r="V23" s="86"/>
      <c r="W23" s="86"/>
    </row>
    <row r="24" spans="1:23" ht="22.5" customHeight="1">
      <c r="A24" s="25" t="s">
        <v>109</v>
      </c>
      <c r="B24" s="83"/>
      <c r="C24" s="84">
        <v>2</v>
      </c>
      <c r="D24" s="84">
        <v>19</v>
      </c>
      <c r="E24" s="84">
        <f>SUM(C24:D24)</f>
        <v>21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/>
      <c r="S24" s="86"/>
      <c r="T24" s="86"/>
      <c r="U24" s="86"/>
      <c r="V24" s="86"/>
      <c r="W24" s="86"/>
    </row>
    <row r="25" spans="1:23" ht="22.5" customHeight="1">
      <c r="A25" s="25" t="s">
        <v>110</v>
      </c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>
        <f>F25+H25+J25+L25</f>
        <v>0</v>
      </c>
      <c r="O25" s="84">
        <f>G25+I25+K25+M25</f>
        <v>0</v>
      </c>
      <c r="P25" s="84"/>
      <c r="Q25" s="84"/>
      <c r="R25" s="85"/>
      <c r="S25" s="86"/>
      <c r="T25" s="86"/>
      <c r="U25" s="86"/>
      <c r="V25" s="86"/>
      <c r="W25" s="86"/>
    </row>
    <row r="26" spans="1:23" ht="22.5" customHeight="1">
      <c r="A26" s="25" t="s">
        <v>111</v>
      </c>
      <c r="B26" s="83" t="s">
        <v>112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>
        <f>F26+H26+J26+L26</f>
        <v>0</v>
      </c>
      <c r="O26" s="84">
        <f>G26+I26+K26+M26</f>
        <v>0</v>
      </c>
      <c r="P26" s="84"/>
      <c r="Q26" s="84"/>
      <c r="R26" s="85"/>
      <c r="S26" s="86"/>
      <c r="T26" s="86"/>
      <c r="U26" s="86"/>
      <c r="V26" s="86"/>
      <c r="W26" s="86"/>
    </row>
    <row r="27" spans="1:23" ht="22.5" customHeight="1">
      <c r="A27" s="21" t="s">
        <v>113</v>
      </c>
      <c r="B27" s="83">
        <v>65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86"/>
      <c r="T27" s="86"/>
      <c r="U27" s="86"/>
      <c r="V27" s="86"/>
      <c r="W27" s="86"/>
    </row>
    <row r="28" spans="1:23" ht="22.5" customHeight="1">
      <c r="A28" s="25" t="s">
        <v>114</v>
      </c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>
        <f>F28+H28+J28+L28</f>
        <v>0</v>
      </c>
      <c r="O28" s="84">
        <f>G28+I28+K28+M28</f>
        <v>0</v>
      </c>
      <c r="P28" s="84"/>
      <c r="Q28" s="84"/>
      <c r="R28" s="85"/>
      <c r="S28" s="86"/>
      <c r="T28" s="86"/>
      <c r="U28" s="86"/>
      <c r="V28" s="86"/>
      <c r="W28" s="86"/>
    </row>
    <row r="29" spans="1:23" ht="22.5" customHeight="1">
      <c r="A29" s="25" t="s">
        <v>115</v>
      </c>
      <c r="B29" s="83"/>
      <c r="C29" s="84">
        <v>3</v>
      </c>
      <c r="D29" s="84">
        <v>17</v>
      </c>
      <c r="E29" s="89">
        <f>SUM(C29:D29)</f>
        <v>20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  <c r="S29" s="86"/>
      <c r="T29" s="86"/>
      <c r="U29" s="86"/>
      <c r="V29" s="86"/>
      <c r="W29" s="86"/>
    </row>
    <row r="30" spans="1:23" ht="22.5" customHeight="1">
      <c r="A30" s="25" t="s">
        <v>116</v>
      </c>
      <c r="B30" s="83"/>
      <c r="C30" s="84">
        <v>14</v>
      </c>
      <c r="D30" s="84">
        <v>11</v>
      </c>
      <c r="E30" s="89">
        <f>SUM(C30:D30)</f>
        <v>25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/>
      <c r="S30" s="86"/>
      <c r="T30" s="86"/>
      <c r="U30" s="86"/>
      <c r="V30" s="86"/>
      <c r="W30" s="86"/>
    </row>
    <row r="31" spans="1:23" ht="22.5" customHeight="1">
      <c r="A31" s="21" t="s">
        <v>117</v>
      </c>
      <c r="B31" s="83">
        <v>65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/>
      <c r="S31" s="86"/>
      <c r="T31" s="86"/>
      <c r="U31" s="86"/>
      <c r="V31" s="86"/>
      <c r="W31" s="86"/>
    </row>
    <row r="32" spans="1:23" ht="22.5" customHeight="1">
      <c r="A32" s="25" t="s">
        <v>118</v>
      </c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>
        <f aca="true" t="shared" si="0" ref="N32:O35">F32+H32+J32+L32</f>
        <v>0</v>
      </c>
      <c r="O32" s="84">
        <f t="shared" si="0"/>
        <v>0</v>
      </c>
      <c r="P32" s="84"/>
      <c r="Q32" s="84"/>
      <c r="R32" s="85"/>
      <c r="S32" s="86"/>
      <c r="T32" s="86"/>
      <c r="U32" s="86"/>
      <c r="V32" s="86"/>
      <c r="W32" s="86"/>
    </row>
    <row r="33" spans="1:23" ht="21">
      <c r="A33" s="21" t="s">
        <v>119</v>
      </c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>
        <f t="shared" si="0"/>
        <v>0</v>
      </c>
      <c r="O33" s="84">
        <f t="shared" si="0"/>
        <v>0</v>
      </c>
      <c r="P33" s="84"/>
      <c r="Q33" s="84"/>
      <c r="R33" s="85"/>
      <c r="S33" s="86"/>
      <c r="T33" s="86"/>
      <c r="U33" s="86"/>
      <c r="V33" s="86"/>
      <c r="W33" s="86"/>
    </row>
    <row r="34" spans="1:23" ht="21">
      <c r="A34" s="25" t="s">
        <v>120</v>
      </c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>
        <f t="shared" si="0"/>
        <v>0</v>
      </c>
      <c r="O34" s="84">
        <f t="shared" si="0"/>
        <v>0</v>
      </c>
      <c r="P34" s="84"/>
      <c r="Q34" s="84"/>
      <c r="R34" s="85"/>
      <c r="S34" s="86"/>
      <c r="T34" s="86"/>
      <c r="U34" s="86"/>
      <c r="V34" s="86"/>
      <c r="W34" s="86"/>
    </row>
    <row r="35" spans="1:23" ht="21">
      <c r="A35" s="25" t="s">
        <v>121</v>
      </c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>
        <f t="shared" si="0"/>
        <v>0</v>
      </c>
      <c r="O35" s="84">
        <f t="shared" si="0"/>
        <v>0</v>
      </c>
      <c r="P35" s="84"/>
      <c r="Q35" s="84"/>
      <c r="R35" s="85"/>
      <c r="S35" s="86"/>
      <c r="T35" s="86"/>
      <c r="U35" s="86"/>
      <c r="V35" s="86"/>
      <c r="W35" s="86"/>
    </row>
    <row r="36" spans="1:23" ht="21">
      <c r="A36" s="21" t="s">
        <v>122</v>
      </c>
      <c r="B36" s="83">
        <v>65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5"/>
      <c r="S36" s="86"/>
      <c r="T36" s="86"/>
      <c r="U36" s="86"/>
      <c r="V36" s="86"/>
      <c r="W36" s="86"/>
    </row>
    <row r="37" spans="1:23" ht="21">
      <c r="A37" s="21" t="s">
        <v>123</v>
      </c>
      <c r="B37" s="83"/>
      <c r="C37" s="84">
        <v>9</v>
      </c>
      <c r="D37" s="84">
        <v>16</v>
      </c>
      <c r="E37" s="84">
        <f>SUM(C37:D37)</f>
        <v>25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/>
      <c r="S37" s="86"/>
      <c r="T37" s="86"/>
      <c r="U37" s="86"/>
      <c r="V37" s="86"/>
      <c r="W37" s="86"/>
    </row>
    <row r="38" spans="1:23" ht="21">
      <c r="A38" s="21" t="s">
        <v>124</v>
      </c>
      <c r="B38" s="83"/>
      <c r="C38" s="84">
        <v>13</v>
      </c>
      <c r="D38" s="84">
        <v>7</v>
      </c>
      <c r="E38" s="84">
        <f>SUM(C38:D38)</f>
        <v>20</v>
      </c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6"/>
      <c r="U38" s="86"/>
      <c r="V38" s="86"/>
      <c r="W38" s="86"/>
    </row>
    <row r="39" spans="1:23" ht="21">
      <c r="A39" s="25" t="s">
        <v>125</v>
      </c>
      <c r="B39" s="83"/>
      <c r="C39" s="84">
        <v>0</v>
      </c>
      <c r="D39" s="84">
        <v>25</v>
      </c>
      <c r="E39" s="84">
        <f>SUM(C39:D39)</f>
        <v>25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6"/>
      <c r="U39" s="86"/>
      <c r="V39" s="86"/>
      <c r="W39" s="86"/>
    </row>
    <row r="40" spans="1:23" ht="21">
      <c r="A40" s="21" t="s">
        <v>126</v>
      </c>
      <c r="B40" s="83">
        <v>65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5"/>
      <c r="S40" s="86"/>
      <c r="T40" s="86"/>
      <c r="U40" s="86"/>
      <c r="V40" s="86"/>
      <c r="W40" s="86"/>
    </row>
    <row r="41" spans="1:23" ht="21">
      <c r="A41" s="25" t="s">
        <v>114</v>
      </c>
      <c r="B41" s="83"/>
      <c r="C41" s="84">
        <v>0</v>
      </c>
      <c r="D41" s="84">
        <v>22</v>
      </c>
      <c r="E41" s="84">
        <f>SUM(C41:D41)</f>
        <v>22</v>
      </c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5"/>
      <c r="S41" s="86"/>
      <c r="T41" s="86"/>
      <c r="U41" s="86"/>
      <c r="V41" s="86"/>
      <c r="W41" s="86"/>
    </row>
    <row r="42" spans="1:23" ht="21">
      <c r="A42" s="25" t="s">
        <v>127</v>
      </c>
      <c r="B42" s="83"/>
      <c r="C42" s="84">
        <v>10</v>
      </c>
      <c r="D42" s="84">
        <v>13</v>
      </c>
      <c r="E42" s="84">
        <f>SUM(C42:D42)</f>
        <v>23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5"/>
      <c r="S42" s="86"/>
      <c r="T42" s="86"/>
      <c r="U42" s="86"/>
      <c r="V42" s="86"/>
      <c r="W42" s="86"/>
    </row>
    <row r="43" spans="1:23" ht="21">
      <c r="A43" s="25" t="s">
        <v>128</v>
      </c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>
        <f>F43+H43+J43+L43</f>
        <v>0</v>
      </c>
      <c r="O43" s="84">
        <f>G43+I43+K43+M43</f>
        <v>0</v>
      </c>
      <c r="P43" s="84"/>
      <c r="Q43" s="84"/>
      <c r="R43" s="85"/>
      <c r="S43" s="86"/>
      <c r="T43" s="86"/>
      <c r="U43" s="86"/>
      <c r="V43" s="86"/>
      <c r="W43" s="86"/>
    </row>
    <row r="44" spans="1:23" ht="21">
      <c r="A44" s="21" t="s">
        <v>129</v>
      </c>
      <c r="B44" s="83">
        <v>65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  <c r="S44" s="86"/>
      <c r="T44" s="86"/>
      <c r="U44" s="86"/>
      <c r="V44" s="86"/>
      <c r="W44" s="86"/>
    </row>
    <row r="45" spans="1:23" ht="21">
      <c r="A45" s="25" t="s">
        <v>130</v>
      </c>
      <c r="B45" s="83"/>
      <c r="C45" s="84">
        <v>2</v>
      </c>
      <c r="D45" s="84">
        <v>18</v>
      </c>
      <c r="E45" s="84">
        <f>SUM(C45:D45)</f>
        <v>20</v>
      </c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5"/>
      <c r="S45" s="86"/>
      <c r="T45" s="86"/>
      <c r="U45" s="86"/>
      <c r="V45" s="86"/>
      <c r="W45" s="86"/>
    </row>
    <row r="46" spans="1:23" ht="21">
      <c r="A46" s="25" t="s">
        <v>131</v>
      </c>
      <c r="B46" s="83"/>
      <c r="C46" s="84">
        <v>3</v>
      </c>
      <c r="D46" s="84">
        <v>17</v>
      </c>
      <c r="E46" s="84">
        <f>SUM(C46:D46)</f>
        <v>20</v>
      </c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5"/>
      <c r="S46" s="86"/>
      <c r="T46" s="86"/>
      <c r="U46" s="86"/>
      <c r="V46" s="86"/>
      <c r="W46" s="86"/>
    </row>
    <row r="47" spans="1:23" ht="21">
      <c r="A47" s="25" t="s">
        <v>128</v>
      </c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>
        <f>F47+H47+J47+L47</f>
        <v>0</v>
      </c>
      <c r="O47" s="84">
        <f>G47+I47+K47+M47</f>
        <v>0</v>
      </c>
      <c r="P47" s="84"/>
      <c r="Q47" s="84"/>
      <c r="R47" s="85"/>
      <c r="S47" s="86"/>
      <c r="T47" s="86"/>
      <c r="U47" s="86"/>
      <c r="V47" s="86"/>
      <c r="W47" s="86"/>
    </row>
    <row r="48" spans="1:23" ht="21">
      <c r="A48" s="25" t="s">
        <v>111</v>
      </c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>
        <f>F48+H48+J48+L48</f>
        <v>0</v>
      </c>
      <c r="O48" s="84">
        <f>G48+I48+K48+M48</f>
        <v>0</v>
      </c>
      <c r="P48" s="84"/>
      <c r="Q48" s="84"/>
      <c r="R48" s="85"/>
      <c r="S48" s="86"/>
      <c r="T48" s="86"/>
      <c r="U48" s="86"/>
      <c r="V48" s="86"/>
      <c r="W48" s="86"/>
    </row>
    <row r="49" spans="1:23" ht="21">
      <c r="A49" s="21" t="s">
        <v>132</v>
      </c>
      <c r="B49" s="83">
        <v>65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5"/>
      <c r="S49" s="86"/>
      <c r="T49" s="86"/>
      <c r="U49" s="86"/>
      <c r="V49" s="86"/>
      <c r="W49" s="86"/>
    </row>
    <row r="50" spans="1:23" ht="21">
      <c r="A50" s="25" t="s">
        <v>130</v>
      </c>
      <c r="B50" s="83"/>
      <c r="C50" s="84">
        <v>16</v>
      </c>
      <c r="D50" s="84">
        <v>4</v>
      </c>
      <c r="E50" s="84">
        <f>SUM(C50:D50)</f>
        <v>20</v>
      </c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5"/>
      <c r="S50" s="86"/>
      <c r="T50" s="86"/>
      <c r="U50" s="86"/>
      <c r="V50" s="86"/>
      <c r="W50" s="86"/>
    </row>
    <row r="51" spans="1:23" ht="21">
      <c r="A51" s="25" t="s">
        <v>133</v>
      </c>
      <c r="B51" s="83"/>
      <c r="C51" s="84">
        <v>0</v>
      </c>
      <c r="D51" s="84">
        <v>20</v>
      </c>
      <c r="E51" s="84">
        <f>SUM(C51:D51)</f>
        <v>20</v>
      </c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5"/>
      <c r="S51" s="86"/>
      <c r="T51" s="86"/>
      <c r="U51" s="86"/>
      <c r="V51" s="86"/>
      <c r="W51" s="86"/>
    </row>
    <row r="52" spans="1:23" ht="21">
      <c r="A52" s="25" t="s">
        <v>107</v>
      </c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>
        <f>F52+H52+J52+L52</f>
        <v>0</v>
      </c>
      <c r="O52" s="84">
        <f>G52+I52+K52+M52</f>
        <v>0</v>
      </c>
      <c r="P52" s="84"/>
      <c r="Q52" s="84"/>
      <c r="R52" s="85"/>
      <c r="S52" s="86"/>
      <c r="T52" s="86"/>
      <c r="U52" s="86"/>
      <c r="V52" s="86"/>
      <c r="W52" s="86"/>
    </row>
    <row r="53" spans="1:23" ht="21">
      <c r="A53" s="21" t="s">
        <v>134</v>
      </c>
      <c r="B53" s="83">
        <v>65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5"/>
      <c r="S53" s="86"/>
      <c r="T53" s="86"/>
      <c r="U53" s="86"/>
      <c r="V53" s="86"/>
      <c r="W53" s="86"/>
    </row>
    <row r="54" spans="1:23" ht="21">
      <c r="A54" s="25" t="s">
        <v>130</v>
      </c>
      <c r="B54" s="83"/>
      <c r="C54" s="84">
        <v>8</v>
      </c>
      <c r="D54" s="84">
        <v>19</v>
      </c>
      <c r="E54" s="84">
        <f>SUM(C54:D54)</f>
        <v>27</v>
      </c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5"/>
      <c r="S54" s="86"/>
      <c r="T54" s="86"/>
      <c r="U54" s="86"/>
      <c r="V54" s="86"/>
      <c r="W54" s="86"/>
    </row>
    <row r="55" spans="1:23" ht="21">
      <c r="A55" s="25" t="s">
        <v>135</v>
      </c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5"/>
      <c r="S55" s="86"/>
      <c r="T55" s="86"/>
      <c r="U55" s="86"/>
      <c r="V55" s="86"/>
      <c r="W55" s="86"/>
    </row>
    <row r="56" spans="1:23" ht="21">
      <c r="A56" s="25" t="s">
        <v>136</v>
      </c>
      <c r="B56" s="83"/>
      <c r="C56" s="84">
        <v>20</v>
      </c>
      <c r="D56" s="84">
        <v>8</v>
      </c>
      <c r="E56" s="84">
        <f>SUM(C56:D56)</f>
        <v>28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5"/>
      <c r="S56" s="86"/>
      <c r="T56" s="86"/>
      <c r="U56" s="86"/>
      <c r="V56" s="86"/>
      <c r="W56" s="86"/>
    </row>
    <row r="57" spans="1:23" ht="21">
      <c r="A57" s="21" t="s">
        <v>137</v>
      </c>
      <c r="B57" s="83">
        <v>65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/>
      <c r="S57" s="86"/>
      <c r="T57" s="86"/>
      <c r="U57" s="86"/>
      <c r="V57" s="86"/>
      <c r="W57" s="86"/>
    </row>
    <row r="58" spans="1:23" ht="21">
      <c r="A58" s="25" t="s">
        <v>130</v>
      </c>
      <c r="B58" s="83"/>
      <c r="C58" s="84">
        <v>5</v>
      </c>
      <c r="D58" s="84">
        <v>17</v>
      </c>
      <c r="E58" s="84">
        <f>SUM(C58:D58)</f>
        <v>22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5"/>
      <c r="S58" s="86"/>
      <c r="T58" s="86"/>
      <c r="U58" s="86"/>
      <c r="V58" s="86"/>
      <c r="W58" s="86"/>
    </row>
    <row r="59" spans="1:23" ht="21">
      <c r="A59" s="25" t="s">
        <v>138</v>
      </c>
      <c r="B59" s="83"/>
      <c r="C59" s="84"/>
      <c r="D59" s="84"/>
      <c r="E59" s="84">
        <f>SUM(C59:D59)</f>
        <v>0</v>
      </c>
      <c r="F59" s="84"/>
      <c r="G59" s="84"/>
      <c r="H59" s="84"/>
      <c r="I59" s="84"/>
      <c r="J59" s="84"/>
      <c r="K59" s="84"/>
      <c r="L59" s="84"/>
      <c r="M59" s="84"/>
      <c r="N59" s="84">
        <f>F59+H59+J59+L59</f>
        <v>0</v>
      </c>
      <c r="O59" s="84">
        <f>G59+I59+K59+M59</f>
        <v>0</v>
      </c>
      <c r="P59" s="84"/>
      <c r="Q59" s="84"/>
      <c r="R59" s="85"/>
      <c r="S59" s="86"/>
      <c r="T59" s="86"/>
      <c r="U59" s="86"/>
      <c r="V59" s="86"/>
      <c r="W59" s="86"/>
    </row>
    <row r="60" spans="1:23" ht="21">
      <c r="A60" s="25" t="s">
        <v>128</v>
      </c>
      <c r="B60" s="83"/>
      <c r="C60" s="84">
        <v>5</v>
      </c>
      <c r="D60" s="84">
        <v>18</v>
      </c>
      <c r="E60" s="84">
        <f>SUM(C60:D60)</f>
        <v>23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5"/>
      <c r="S60" s="86"/>
      <c r="T60" s="86"/>
      <c r="U60" s="86"/>
      <c r="V60" s="86"/>
      <c r="W60" s="86"/>
    </row>
    <row r="61" spans="1:23" ht="21">
      <c r="A61" s="21" t="s">
        <v>139</v>
      </c>
      <c r="B61" s="83">
        <v>65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5"/>
      <c r="S61" s="86"/>
      <c r="T61" s="86"/>
      <c r="U61" s="86"/>
      <c r="V61" s="86"/>
      <c r="W61" s="86"/>
    </row>
    <row r="62" spans="1:23" ht="21">
      <c r="A62" s="25" t="s">
        <v>130</v>
      </c>
      <c r="B62" s="83"/>
      <c r="C62" s="84">
        <v>5</v>
      </c>
      <c r="D62" s="84">
        <v>17</v>
      </c>
      <c r="E62" s="84">
        <f>SUM(C62:D62)</f>
        <v>22</v>
      </c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5"/>
      <c r="S62" s="86"/>
      <c r="T62" s="86"/>
      <c r="U62" s="86"/>
      <c r="V62" s="86"/>
      <c r="W62" s="86"/>
    </row>
    <row r="63" spans="1:23" ht="21">
      <c r="A63" s="90" t="s">
        <v>140</v>
      </c>
      <c r="B63" s="83"/>
      <c r="C63" s="84">
        <v>4</v>
      </c>
      <c r="D63" s="84">
        <v>17</v>
      </c>
      <c r="E63" s="84">
        <f>SUM(C63:D63)</f>
        <v>21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5"/>
      <c r="S63" s="86"/>
      <c r="T63" s="86"/>
      <c r="U63" s="86"/>
      <c r="V63" s="86"/>
      <c r="W63" s="86"/>
    </row>
    <row r="64" spans="1:23" ht="21">
      <c r="A64" s="90" t="s">
        <v>125</v>
      </c>
      <c r="B64" s="83"/>
      <c r="C64" s="84">
        <v>3</v>
      </c>
      <c r="D64" s="84">
        <v>19</v>
      </c>
      <c r="E64" s="84">
        <f>SUM(C64:D64)</f>
        <v>22</v>
      </c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5"/>
      <c r="S64" s="86"/>
      <c r="T64" s="86"/>
      <c r="U64" s="86"/>
      <c r="V64" s="86"/>
      <c r="W64" s="86"/>
    </row>
    <row r="65" spans="1:23" ht="21">
      <c r="A65" s="91" t="s">
        <v>141</v>
      </c>
      <c r="B65" s="83">
        <v>65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/>
      <c r="S65" s="86"/>
      <c r="T65" s="86"/>
      <c r="U65" s="86"/>
      <c r="V65" s="86"/>
      <c r="W65" s="86"/>
    </row>
    <row r="66" spans="1:23" ht="21">
      <c r="A66" s="90" t="s">
        <v>142</v>
      </c>
      <c r="B66" s="83"/>
      <c r="C66" s="84">
        <v>15</v>
      </c>
      <c r="D66" s="84">
        <v>5</v>
      </c>
      <c r="E66" s="84">
        <f>SUM(C66:D66)</f>
        <v>20</v>
      </c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5"/>
      <c r="S66" s="86"/>
      <c r="T66" s="86"/>
      <c r="U66" s="86"/>
      <c r="V66" s="86"/>
      <c r="W66" s="86"/>
    </row>
    <row r="67" spans="1:23" ht="21">
      <c r="A67" s="90" t="s">
        <v>109</v>
      </c>
      <c r="B67" s="83"/>
      <c r="C67" s="84">
        <v>0</v>
      </c>
      <c r="D67" s="84">
        <v>20</v>
      </c>
      <c r="E67" s="84">
        <f>SUM(C67:D67)</f>
        <v>20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  <c r="S67" s="86"/>
      <c r="T67" s="86"/>
      <c r="U67" s="86"/>
      <c r="V67" s="86"/>
      <c r="W67" s="86"/>
    </row>
    <row r="68" spans="1:23" ht="21">
      <c r="A68" s="90" t="s">
        <v>143</v>
      </c>
      <c r="B68" s="83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>
        <f>F68+H68+J68+L68</f>
        <v>0</v>
      </c>
      <c r="O68" s="84">
        <f>G68+I68+K68+M68</f>
        <v>0</v>
      </c>
      <c r="P68" s="84"/>
      <c r="Q68" s="84"/>
      <c r="R68" s="85"/>
      <c r="S68" s="86"/>
      <c r="T68" s="86"/>
      <c r="U68" s="86"/>
      <c r="V68" s="86"/>
      <c r="W68" s="86"/>
    </row>
    <row r="69" spans="1:23" ht="21">
      <c r="A69" s="91" t="s">
        <v>144</v>
      </c>
      <c r="B69" s="83">
        <v>65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5"/>
      <c r="S69" s="86"/>
      <c r="T69" s="86"/>
      <c r="U69" s="86"/>
      <c r="V69" s="86"/>
      <c r="W69" s="86"/>
    </row>
    <row r="70" spans="1:23" ht="21">
      <c r="A70" s="90" t="s">
        <v>105</v>
      </c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>
        <f aca="true" t="shared" si="1" ref="N70:O73">F70+H70+J70+L70</f>
        <v>0</v>
      </c>
      <c r="O70" s="84">
        <f t="shared" si="1"/>
        <v>0</v>
      </c>
      <c r="P70" s="84"/>
      <c r="Q70" s="84"/>
      <c r="R70" s="85"/>
      <c r="S70" s="86"/>
      <c r="T70" s="86"/>
      <c r="U70" s="86"/>
      <c r="V70" s="86"/>
      <c r="W70" s="86"/>
    </row>
    <row r="71" spans="1:23" ht="21">
      <c r="A71" s="90" t="s">
        <v>138</v>
      </c>
      <c r="B71" s="83"/>
      <c r="C71" s="84">
        <v>10</v>
      </c>
      <c r="D71" s="84">
        <v>8</v>
      </c>
      <c r="E71" s="84">
        <f>SUM(C71:D71)</f>
        <v>18</v>
      </c>
      <c r="F71" s="84"/>
      <c r="G71" s="84"/>
      <c r="H71" s="84"/>
      <c r="I71" s="84"/>
      <c r="J71" s="84"/>
      <c r="K71" s="84"/>
      <c r="L71" s="84"/>
      <c r="M71" s="84"/>
      <c r="N71" s="84">
        <f t="shared" si="1"/>
        <v>0</v>
      </c>
      <c r="O71" s="84">
        <f t="shared" si="1"/>
        <v>0</v>
      </c>
      <c r="P71" s="84"/>
      <c r="Q71" s="84"/>
      <c r="R71" s="85"/>
      <c r="S71" s="86"/>
      <c r="T71" s="86"/>
      <c r="U71" s="86"/>
      <c r="V71" s="86"/>
      <c r="W71" s="86"/>
    </row>
    <row r="72" spans="1:23" ht="21">
      <c r="A72" s="90" t="s">
        <v>116</v>
      </c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>
        <f t="shared" si="1"/>
        <v>0</v>
      </c>
      <c r="O72" s="84">
        <f t="shared" si="1"/>
        <v>0</v>
      </c>
      <c r="P72" s="84"/>
      <c r="Q72" s="84"/>
      <c r="R72" s="85"/>
      <c r="S72" s="86"/>
      <c r="T72" s="86"/>
      <c r="U72" s="86"/>
      <c r="V72" s="86"/>
      <c r="W72" s="86"/>
    </row>
    <row r="73" spans="1:23" ht="21">
      <c r="A73" s="90" t="s">
        <v>145</v>
      </c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>
        <f t="shared" si="1"/>
        <v>0</v>
      </c>
      <c r="O73" s="84">
        <f t="shared" si="1"/>
        <v>0</v>
      </c>
      <c r="P73" s="84"/>
      <c r="Q73" s="84"/>
      <c r="R73" s="85"/>
      <c r="S73" s="86"/>
      <c r="T73" s="86"/>
      <c r="U73" s="86"/>
      <c r="V73" s="86"/>
      <c r="W73" s="86"/>
    </row>
    <row r="74" spans="1:23" ht="21">
      <c r="A74" s="91" t="s">
        <v>146</v>
      </c>
      <c r="B74" s="83">
        <v>65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5"/>
      <c r="S74" s="86"/>
      <c r="T74" s="86"/>
      <c r="U74" s="86"/>
      <c r="V74" s="86"/>
      <c r="W74" s="86"/>
    </row>
    <row r="75" spans="1:23" ht="21">
      <c r="A75" s="90" t="s">
        <v>114</v>
      </c>
      <c r="B75" s="83"/>
      <c r="C75" s="84">
        <v>6</v>
      </c>
      <c r="D75" s="84">
        <v>18</v>
      </c>
      <c r="E75" s="84">
        <f>SUM(C75:D75)</f>
        <v>24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5"/>
      <c r="S75" s="86"/>
      <c r="T75" s="86"/>
      <c r="U75" s="86"/>
      <c r="V75" s="86"/>
      <c r="W75" s="86"/>
    </row>
    <row r="76" spans="1:23" ht="21">
      <c r="A76" s="90" t="s">
        <v>147</v>
      </c>
      <c r="B76" s="83"/>
      <c r="C76" s="84">
        <v>16</v>
      </c>
      <c r="D76" s="84">
        <v>10</v>
      </c>
      <c r="E76" s="84">
        <f>SUM(C76:D76)</f>
        <v>26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5"/>
      <c r="S76" s="86"/>
      <c r="T76" s="86"/>
      <c r="U76" s="86"/>
      <c r="V76" s="86"/>
      <c r="W76" s="86"/>
    </row>
    <row r="77" spans="1:23" ht="21">
      <c r="A77" s="91" t="s">
        <v>148</v>
      </c>
      <c r="B77" s="83">
        <v>65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5"/>
      <c r="S77" s="86"/>
      <c r="T77" s="86"/>
      <c r="U77" s="86"/>
      <c r="V77" s="86"/>
      <c r="W77" s="86"/>
    </row>
    <row r="78" spans="1:23" ht="21">
      <c r="A78" s="90" t="s">
        <v>114</v>
      </c>
      <c r="B78" s="83"/>
      <c r="C78" s="84">
        <v>4</v>
      </c>
      <c r="D78" s="84">
        <v>22</v>
      </c>
      <c r="E78" s="84">
        <f>SUM(C78:D78)</f>
        <v>26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5"/>
      <c r="S78" s="86"/>
      <c r="T78" s="86"/>
      <c r="U78" s="86"/>
      <c r="V78" s="86"/>
      <c r="W78" s="86"/>
    </row>
    <row r="79" spans="1:23" ht="21">
      <c r="A79" s="90" t="s">
        <v>127</v>
      </c>
      <c r="B79" s="83"/>
      <c r="C79" s="84">
        <v>4</v>
      </c>
      <c r="D79" s="84">
        <v>22</v>
      </c>
      <c r="E79" s="84">
        <f>SUM(C79:D79)</f>
        <v>26</v>
      </c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5"/>
      <c r="S79" s="86"/>
      <c r="T79" s="86"/>
      <c r="U79" s="86"/>
      <c r="V79" s="86"/>
      <c r="W79" s="86"/>
    </row>
    <row r="80" spans="1:23" ht="21">
      <c r="A80" s="90"/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5"/>
      <c r="S80" s="86"/>
      <c r="T80" s="86"/>
      <c r="U80" s="86"/>
      <c r="V80" s="86"/>
      <c r="W80" s="86"/>
    </row>
    <row r="81" spans="1:23" ht="21">
      <c r="A81" s="82" t="s">
        <v>38</v>
      </c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5"/>
      <c r="S81" s="86"/>
      <c r="T81" s="86"/>
      <c r="U81" s="86"/>
      <c r="V81" s="86"/>
      <c r="W81" s="86"/>
    </row>
    <row r="82" spans="1:23" ht="21">
      <c r="A82" s="88" t="s">
        <v>100</v>
      </c>
      <c r="B82" s="83">
        <v>40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5"/>
      <c r="S82" s="86"/>
      <c r="T82" s="86"/>
      <c r="U82" s="86"/>
      <c r="V82" s="86"/>
      <c r="W82" s="86"/>
    </row>
    <row r="83" spans="1:23" ht="21">
      <c r="A83" s="25" t="s">
        <v>149</v>
      </c>
      <c r="B83" s="83"/>
      <c r="C83" s="84">
        <v>11</v>
      </c>
      <c r="D83" s="84">
        <v>19</v>
      </c>
      <c r="E83" s="84">
        <f>SUM(C83:D83)</f>
        <v>30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5"/>
      <c r="S83" s="86"/>
      <c r="T83" s="86"/>
      <c r="U83" s="86"/>
      <c r="V83" s="86"/>
      <c r="W83" s="86"/>
    </row>
    <row r="84" spans="1:23" ht="21">
      <c r="A84" s="25" t="s">
        <v>150</v>
      </c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5"/>
      <c r="S84" s="86"/>
      <c r="T84" s="86"/>
      <c r="U84" s="86"/>
      <c r="V84" s="86"/>
      <c r="W84" s="86"/>
    </row>
    <row r="85" spans="1:23" ht="21">
      <c r="A85" s="21" t="s">
        <v>104</v>
      </c>
      <c r="B85" s="83">
        <v>40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5"/>
      <c r="S85" s="86"/>
      <c r="T85" s="86"/>
      <c r="U85" s="86"/>
      <c r="V85" s="86"/>
      <c r="W85" s="86"/>
    </row>
    <row r="86" spans="1:23" ht="21">
      <c r="A86" s="25" t="s">
        <v>151</v>
      </c>
      <c r="B86" s="83"/>
      <c r="C86" s="84">
        <v>5</v>
      </c>
      <c r="D86" s="84">
        <v>18</v>
      </c>
      <c r="E86" s="84">
        <f>SUM(C86:D86)</f>
        <v>23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5"/>
      <c r="S86" s="86"/>
      <c r="T86" s="86"/>
      <c r="U86" s="86"/>
      <c r="V86" s="86"/>
      <c r="W86" s="86"/>
    </row>
    <row r="87" spans="1:23" ht="21">
      <c r="A87" s="25" t="s">
        <v>152</v>
      </c>
      <c r="B87" s="83"/>
      <c r="C87" s="84">
        <v>11</v>
      </c>
      <c r="D87" s="84">
        <v>14</v>
      </c>
      <c r="E87" s="84">
        <f>SUM(C87:D87)</f>
        <v>25</v>
      </c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5"/>
      <c r="S87" s="86"/>
      <c r="T87" s="86"/>
      <c r="U87" s="86"/>
      <c r="V87" s="86"/>
      <c r="W87" s="86"/>
    </row>
    <row r="88" spans="1:23" ht="21">
      <c r="A88" s="21" t="s">
        <v>108</v>
      </c>
      <c r="B88" s="83">
        <v>40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5"/>
      <c r="S88" s="86"/>
      <c r="T88" s="86"/>
      <c r="U88" s="86"/>
      <c r="V88" s="86"/>
      <c r="W88" s="86"/>
    </row>
    <row r="89" spans="1:23" ht="21">
      <c r="A89" s="25" t="s">
        <v>153</v>
      </c>
      <c r="B89" s="83"/>
      <c r="C89" s="84">
        <v>19</v>
      </c>
      <c r="D89" s="84">
        <v>25</v>
      </c>
      <c r="E89" s="84">
        <f>SUM(C89:D89)</f>
        <v>44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>
        <v>25</v>
      </c>
      <c r="R89" s="85"/>
      <c r="S89" s="86"/>
      <c r="T89" s="86"/>
      <c r="U89" s="86"/>
      <c r="V89" s="86"/>
      <c r="W89" s="86"/>
    </row>
    <row r="90" spans="1:23" ht="21">
      <c r="A90" s="25" t="s">
        <v>154</v>
      </c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>
        <f>F90+H90+J90+L90</f>
        <v>0</v>
      </c>
      <c r="O90" s="84">
        <f>G90+I90+K90+M90</f>
        <v>0</v>
      </c>
      <c r="P90" s="84"/>
      <c r="Q90" s="84"/>
      <c r="R90" s="85"/>
      <c r="S90" s="86"/>
      <c r="T90" s="86"/>
      <c r="U90" s="86"/>
      <c r="V90" s="86"/>
      <c r="W90" s="86"/>
    </row>
    <row r="91" spans="1:23" ht="21">
      <c r="A91" s="25" t="s">
        <v>155</v>
      </c>
      <c r="B91" s="83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>
        <f>F91+H91+J91+L91</f>
        <v>0</v>
      </c>
      <c r="O91" s="84">
        <f>G91+I91+K91+M91</f>
        <v>0</v>
      </c>
      <c r="P91" s="84"/>
      <c r="Q91" s="84"/>
      <c r="R91" s="85"/>
      <c r="S91" s="86"/>
      <c r="T91" s="86"/>
      <c r="U91" s="86"/>
      <c r="V91" s="86"/>
      <c r="W91" s="86"/>
    </row>
    <row r="92" spans="1:23" ht="21">
      <c r="A92" s="21" t="s">
        <v>113</v>
      </c>
      <c r="B92" s="83">
        <v>40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5"/>
      <c r="S92" s="86"/>
      <c r="T92" s="86"/>
      <c r="U92" s="86"/>
      <c r="V92" s="86"/>
      <c r="W92" s="86"/>
    </row>
    <row r="93" spans="1:23" ht="21">
      <c r="A93" s="25" t="s">
        <v>156</v>
      </c>
      <c r="B93" s="83"/>
      <c r="C93" s="84">
        <v>8</v>
      </c>
      <c r="D93" s="84">
        <v>14</v>
      </c>
      <c r="E93" s="84">
        <f>SUM(C93:D93)</f>
        <v>22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5"/>
      <c r="S93" s="86"/>
      <c r="T93" s="86"/>
      <c r="U93" s="86"/>
      <c r="V93" s="86"/>
      <c r="W93" s="86"/>
    </row>
    <row r="94" spans="1:23" ht="21">
      <c r="A94" s="25" t="s">
        <v>157</v>
      </c>
      <c r="B94" s="83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>
        <f>F94+H94+J94+L94</f>
        <v>0</v>
      </c>
      <c r="O94" s="84">
        <f>G94+I94+K94+M94</f>
        <v>0</v>
      </c>
      <c r="P94" s="84"/>
      <c r="Q94" s="84"/>
      <c r="R94" s="85"/>
      <c r="S94" s="86"/>
      <c r="T94" s="86"/>
      <c r="U94" s="86"/>
      <c r="V94" s="86"/>
      <c r="W94" s="86"/>
    </row>
    <row r="95" spans="1:23" ht="21">
      <c r="A95" s="25" t="s">
        <v>158</v>
      </c>
      <c r="B95" s="83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>
        <f>F95+H95+J95+L95</f>
        <v>0</v>
      </c>
      <c r="O95" s="84">
        <f>G95+I95+K95+M95</f>
        <v>0</v>
      </c>
      <c r="P95" s="84"/>
      <c r="Q95" s="84"/>
      <c r="R95" s="85"/>
      <c r="S95" s="86"/>
      <c r="T95" s="86"/>
      <c r="U95" s="86"/>
      <c r="V95" s="86"/>
      <c r="W95" s="86"/>
    </row>
    <row r="96" spans="1:23" ht="21">
      <c r="A96" s="21" t="s">
        <v>117</v>
      </c>
      <c r="B96" s="83">
        <v>40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5"/>
      <c r="S96" s="86"/>
      <c r="T96" s="86"/>
      <c r="U96" s="86"/>
      <c r="V96" s="86"/>
      <c r="W96" s="86"/>
    </row>
    <row r="97" spans="1:23" ht="21">
      <c r="A97" s="25" t="s">
        <v>159</v>
      </c>
      <c r="B97" s="83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>
        <f aca="true" t="shared" si="2" ref="N97:O99">F97+H97+J97+L97</f>
        <v>0</v>
      </c>
      <c r="O97" s="84">
        <f t="shared" si="2"/>
        <v>0</v>
      </c>
      <c r="P97" s="84"/>
      <c r="Q97" s="84"/>
      <c r="R97" s="85"/>
      <c r="S97" s="86"/>
      <c r="T97" s="86"/>
      <c r="U97" s="86"/>
      <c r="V97" s="86"/>
      <c r="W97" s="86"/>
    </row>
    <row r="98" spans="1:23" ht="21">
      <c r="A98" s="21" t="s">
        <v>160</v>
      </c>
      <c r="B98" s="83"/>
      <c r="C98" s="84"/>
      <c r="D98" s="84"/>
      <c r="E98" s="84"/>
      <c r="F98" s="92"/>
      <c r="G98" s="92"/>
      <c r="H98" s="84"/>
      <c r="I98" s="84"/>
      <c r="J98" s="92"/>
      <c r="K98" s="92"/>
      <c r="L98" s="92"/>
      <c r="M98" s="92"/>
      <c r="N98" s="84">
        <f t="shared" si="2"/>
        <v>0</v>
      </c>
      <c r="O98" s="84">
        <f t="shared" si="2"/>
        <v>0</v>
      </c>
      <c r="P98" s="84"/>
      <c r="Q98" s="84"/>
      <c r="R98" s="85"/>
      <c r="S98" s="86"/>
      <c r="T98" s="86"/>
      <c r="U98" s="86"/>
      <c r="V98" s="86"/>
      <c r="W98" s="86"/>
    </row>
    <row r="99" spans="1:23" ht="21">
      <c r="A99" s="25" t="s">
        <v>161</v>
      </c>
      <c r="B99" s="83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>
        <f t="shared" si="2"/>
        <v>0</v>
      </c>
      <c r="O99" s="84">
        <f t="shared" si="2"/>
        <v>0</v>
      </c>
      <c r="P99" s="84"/>
      <c r="Q99" s="84"/>
      <c r="R99" s="85"/>
      <c r="S99" s="86"/>
      <c r="T99" s="86"/>
      <c r="U99" s="86"/>
      <c r="V99" s="86"/>
      <c r="W99" s="86"/>
    </row>
    <row r="100" spans="1:23" ht="21">
      <c r="A100" s="21" t="s">
        <v>122</v>
      </c>
      <c r="B100" s="83">
        <v>40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5"/>
      <c r="S100" s="86"/>
      <c r="T100" s="86"/>
      <c r="U100" s="86"/>
      <c r="V100" s="86"/>
      <c r="W100" s="86"/>
    </row>
    <row r="101" spans="1:23" ht="21">
      <c r="A101" s="21" t="s">
        <v>162</v>
      </c>
      <c r="B101" s="83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>
        <f>F101+H101+J101+L101</f>
        <v>0</v>
      </c>
      <c r="O101" s="84">
        <f>G101+I101+K101+M101</f>
        <v>0</v>
      </c>
      <c r="P101" s="84"/>
      <c r="Q101" s="84"/>
      <c r="R101" s="85"/>
      <c r="S101" s="86"/>
      <c r="T101" s="86"/>
      <c r="U101" s="86"/>
      <c r="V101" s="86"/>
      <c r="W101" s="86"/>
    </row>
    <row r="102" spans="1:23" ht="21">
      <c r="A102" s="21" t="s">
        <v>163</v>
      </c>
      <c r="B102" s="83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>
        <f>F102+H102+J102+L102</f>
        <v>0</v>
      </c>
      <c r="O102" s="84">
        <f>G102+I102+K102+M102</f>
        <v>0</v>
      </c>
      <c r="P102" s="84"/>
      <c r="Q102" s="84"/>
      <c r="R102" s="85"/>
      <c r="S102" s="86"/>
      <c r="T102" s="86"/>
      <c r="U102" s="86"/>
      <c r="V102" s="86"/>
      <c r="W102" s="86"/>
    </row>
    <row r="103" spans="1:23" ht="21">
      <c r="A103" s="25" t="s">
        <v>164</v>
      </c>
      <c r="B103" s="83"/>
      <c r="C103" s="84">
        <v>12</v>
      </c>
      <c r="D103" s="84">
        <v>18</v>
      </c>
      <c r="E103" s="84">
        <f>SUM(C103:D103)</f>
        <v>30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5"/>
      <c r="S103" s="86"/>
      <c r="T103" s="86"/>
      <c r="U103" s="86"/>
      <c r="V103" s="86"/>
      <c r="W103" s="86"/>
    </row>
    <row r="104" spans="1:23" ht="21">
      <c r="A104" s="21" t="s">
        <v>126</v>
      </c>
      <c r="B104" s="83">
        <v>40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5"/>
      <c r="S104" s="86"/>
      <c r="T104" s="86"/>
      <c r="U104" s="86"/>
      <c r="V104" s="86"/>
      <c r="W104" s="86"/>
    </row>
    <row r="105" spans="1:23" ht="21">
      <c r="A105" s="25" t="s">
        <v>149</v>
      </c>
      <c r="B105" s="83"/>
      <c r="C105" s="84">
        <v>4</v>
      </c>
      <c r="D105" s="92">
        <v>20</v>
      </c>
      <c r="E105" s="84">
        <f>SUM(C105:D105)</f>
        <v>24</v>
      </c>
      <c r="F105" s="92"/>
      <c r="G105" s="92"/>
      <c r="H105" s="84"/>
      <c r="I105" s="92"/>
      <c r="J105" s="92"/>
      <c r="K105" s="92"/>
      <c r="L105" s="92"/>
      <c r="M105" s="92"/>
      <c r="N105" s="84"/>
      <c r="O105" s="84"/>
      <c r="P105" s="84"/>
      <c r="Q105" s="92"/>
      <c r="R105" s="85"/>
      <c r="S105" s="86"/>
      <c r="T105" s="86"/>
      <c r="U105" s="86"/>
      <c r="V105" s="86"/>
      <c r="W105" s="86"/>
    </row>
    <row r="106" spans="1:23" ht="21">
      <c r="A106" s="25" t="s">
        <v>165</v>
      </c>
      <c r="B106" s="83"/>
      <c r="C106" s="84">
        <v>13</v>
      </c>
      <c r="D106" s="84">
        <v>9</v>
      </c>
      <c r="E106" s="84">
        <f>SUM(C106:D106)</f>
        <v>22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5"/>
      <c r="S106" s="86"/>
      <c r="T106" s="86"/>
      <c r="U106" s="86"/>
      <c r="V106" s="86"/>
      <c r="W106" s="86"/>
    </row>
    <row r="107" spans="1:23" ht="21">
      <c r="A107" s="21" t="s">
        <v>129</v>
      </c>
      <c r="B107" s="83">
        <v>40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5"/>
      <c r="S107" s="86"/>
      <c r="T107" s="86"/>
      <c r="U107" s="86"/>
      <c r="V107" s="86"/>
      <c r="W107" s="86"/>
    </row>
    <row r="108" spans="1:23" ht="21">
      <c r="A108" s="25" t="s">
        <v>166</v>
      </c>
      <c r="B108" s="83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>
        <f>F108+H108+J108+L108</f>
        <v>0</v>
      </c>
      <c r="O108" s="84">
        <f>G108+I108+K108+M108</f>
        <v>0</v>
      </c>
      <c r="P108" s="84"/>
      <c r="Q108" s="84"/>
      <c r="R108" s="85"/>
      <c r="S108" s="86"/>
      <c r="T108" s="86"/>
      <c r="U108" s="86"/>
      <c r="V108" s="86"/>
      <c r="W108" s="86"/>
    </row>
    <row r="109" spans="1:23" ht="21">
      <c r="A109" s="25" t="s">
        <v>167</v>
      </c>
      <c r="B109" s="83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>
        <f>F109+H109+J109+L109</f>
        <v>0</v>
      </c>
      <c r="O109" s="84">
        <f>G109+I109+K109+M109</f>
        <v>0</v>
      </c>
      <c r="P109" s="84"/>
      <c r="Q109" s="84"/>
      <c r="R109" s="85"/>
      <c r="S109" s="86"/>
      <c r="T109" s="86"/>
      <c r="U109" s="86"/>
      <c r="V109" s="86"/>
      <c r="W109" s="86"/>
    </row>
    <row r="110" spans="1:23" ht="21">
      <c r="A110" s="21" t="s">
        <v>132</v>
      </c>
      <c r="B110" s="83">
        <v>40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  <c r="S110" s="86"/>
      <c r="T110" s="86"/>
      <c r="U110" s="86"/>
      <c r="V110" s="86"/>
      <c r="W110" s="86"/>
    </row>
    <row r="111" spans="1:23" ht="21">
      <c r="A111" s="25" t="s">
        <v>168</v>
      </c>
      <c r="B111" s="83"/>
      <c r="C111" s="84">
        <v>27</v>
      </c>
      <c r="D111" s="84">
        <v>13</v>
      </c>
      <c r="E111" s="84">
        <f>SUM(C111:D111)</f>
        <v>40</v>
      </c>
      <c r="F111" s="92"/>
      <c r="G111" s="92"/>
      <c r="H111" s="84"/>
      <c r="I111" s="84"/>
      <c r="J111" s="92"/>
      <c r="K111" s="92"/>
      <c r="L111" s="92"/>
      <c r="M111" s="92"/>
      <c r="N111" s="84">
        <f>F111+H111+J111+L111</f>
        <v>0</v>
      </c>
      <c r="O111" s="84">
        <f>G111+I111+K111+M111</f>
        <v>0</v>
      </c>
      <c r="P111" s="84"/>
      <c r="Q111" s="84"/>
      <c r="R111" s="85"/>
      <c r="S111" s="86"/>
      <c r="T111" s="86"/>
      <c r="U111" s="86"/>
      <c r="V111" s="86"/>
      <c r="W111" s="86"/>
    </row>
    <row r="112" spans="1:23" ht="21">
      <c r="A112" s="25" t="s">
        <v>169</v>
      </c>
      <c r="B112" s="83"/>
      <c r="C112" s="84"/>
      <c r="D112" s="84"/>
      <c r="E112" s="84">
        <f>SUM(C112:D112)</f>
        <v>0</v>
      </c>
      <c r="F112" s="84"/>
      <c r="G112" s="84"/>
      <c r="H112" s="84"/>
      <c r="I112" s="84"/>
      <c r="J112" s="84"/>
      <c r="K112" s="84"/>
      <c r="L112" s="84"/>
      <c r="M112" s="84"/>
      <c r="N112" s="84">
        <f>F112+H112+J112+L112</f>
        <v>0</v>
      </c>
      <c r="O112" s="84">
        <f>G112+I112+K112+M112</f>
        <v>0</v>
      </c>
      <c r="P112" s="84"/>
      <c r="Q112" s="84"/>
      <c r="R112" s="85"/>
      <c r="S112" s="86"/>
      <c r="T112" s="86"/>
      <c r="U112" s="86"/>
      <c r="V112" s="86"/>
      <c r="W112" s="86"/>
    </row>
    <row r="113" spans="1:23" ht="21">
      <c r="A113" s="25" t="s">
        <v>170</v>
      </c>
      <c r="B113" s="83"/>
      <c r="C113" s="84">
        <v>13</v>
      </c>
      <c r="D113" s="84">
        <v>7</v>
      </c>
      <c r="E113" s="84">
        <f>SUM(C113:D113)</f>
        <v>20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5"/>
      <c r="S113" s="86"/>
      <c r="T113" s="86"/>
      <c r="U113" s="86"/>
      <c r="V113" s="86"/>
      <c r="W113" s="86"/>
    </row>
    <row r="114" spans="1:23" ht="21">
      <c r="A114" s="21" t="s">
        <v>134</v>
      </c>
      <c r="B114" s="83">
        <v>40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5"/>
      <c r="S114" s="86"/>
      <c r="T114" s="86"/>
      <c r="U114" s="86"/>
      <c r="V114" s="86"/>
      <c r="W114" s="86"/>
    </row>
    <row r="115" spans="1:23" ht="21">
      <c r="A115" s="25" t="s">
        <v>156</v>
      </c>
      <c r="B115" s="83"/>
      <c r="C115" s="84">
        <v>19</v>
      </c>
      <c r="D115" s="84">
        <v>12</v>
      </c>
      <c r="E115" s="84">
        <f>SUM(C115:D115)</f>
        <v>31</v>
      </c>
      <c r="F115" s="84"/>
      <c r="G115" s="84"/>
      <c r="H115" s="92"/>
      <c r="I115" s="84"/>
      <c r="J115" s="92"/>
      <c r="K115" s="84"/>
      <c r="L115" s="92"/>
      <c r="M115" s="92"/>
      <c r="N115" s="84"/>
      <c r="O115" s="84"/>
      <c r="P115" s="84"/>
      <c r="Q115" s="84"/>
      <c r="R115" s="85"/>
      <c r="S115" s="86"/>
      <c r="T115" s="86"/>
      <c r="U115" s="86"/>
      <c r="V115" s="86"/>
      <c r="W115" s="86"/>
    </row>
    <row r="116" spans="1:23" ht="21">
      <c r="A116" s="25" t="s">
        <v>171</v>
      </c>
      <c r="B116" s="83"/>
      <c r="C116" s="84">
        <v>17</v>
      </c>
      <c r="D116" s="84">
        <v>45</v>
      </c>
      <c r="E116" s="84">
        <f>SUM(C116:D116)</f>
        <v>62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5"/>
      <c r="S116" s="86"/>
      <c r="T116" s="86"/>
      <c r="U116" s="86"/>
      <c r="V116" s="86"/>
      <c r="W116" s="86"/>
    </row>
    <row r="117" spans="1:23" ht="21">
      <c r="A117" s="21" t="s">
        <v>137</v>
      </c>
      <c r="B117" s="83">
        <v>40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>
        <f>F117+H117+J117+L117</f>
        <v>0</v>
      </c>
      <c r="O117" s="84">
        <f>G117+I117+K117+M117</f>
        <v>0</v>
      </c>
      <c r="P117" s="84"/>
      <c r="Q117" s="84"/>
      <c r="R117" s="85"/>
      <c r="S117" s="86"/>
      <c r="T117" s="86"/>
      <c r="U117" s="86"/>
      <c r="V117" s="86"/>
      <c r="W117" s="86"/>
    </row>
    <row r="118" spans="1:23" ht="21">
      <c r="A118" s="25" t="s">
        <v>172</v>
      </c>
      <c r="B118" s="83"/>
      <c r="C118" s="84">
        <v>5</v>
      </c>
      <c r="D118" s="84">
        <v>15</v>
      </c>
      <c r="E118" s="84">
        <f>SUM(C118:D118)</f>
        <v>20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5"/>
      <c r="S118" s="86"/>
      <c r="T118" s="86"/>
      <c r="U118" s="86"/>
      <c r="V118" s="86"/>
      <c r="W118" s="86"/>
    </row>
    <row r="119" spans="1:23" ht="21">
      <c r="A119" s="21" t="s">
        <v>139</v>
      </c>
      <c r="B119" s="83">
        <v>40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5">
        <v>0.5</v>
      </c>
      <c r="S119" s="86"/>
      <c r="T119" s="86"/>
      <c r="U119" s="86"/>
      <c r="V119" s="86"/>
      <c r="W119" s="86"/>
    </row>
    <row r="120" spans="1:23" ht="21">
      <c r="A120" s="25" t="s">
        <v>173</v>
      </c>
      <c r="B120" s="83"/>
      <c r="C120" s="84">
        <v>9</v>
      </c>
      <c r="D120" s="84">
        <v>11</v>
      </c>
      <c r="E120" s="84">
        <f>SUM(C120:D120)</f>
        <v>20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5"/>
      <c r="S120" s="86"/>
      <c r="T120" s="86"/>
      <c r="U120" s="86"/>
      <c r="V120" s="86"/>
      <c r="W120" s="86"/>
    </row>
    <row r="121" spans="1:23" ht="21">
      <c r="A121" s="90" t="s">
        <v>174</v>
      </c>
      <c r="B121" s="83"/>
      <c r="C121" s="84">
        <v>11</v>
      </c>
      <c r="D121" s="84">
        <v>19</v>
      </c>
      <c r="E121" s="84">
        <f>SUM(C121:D121)</f>
        <v>30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5"/>
      <c r="S121" s="86"/>
      <c r="T121" s="86"/>
      <c r="U121" s="86"/>
      <c r="V121" s="86"/>
      <c r="W121" s="86"/>
    </row>
    <row r="122" spans="1:23" ht="21">
      <c r="A122" s="91" t="s">
        <v>141</v>
      </c>
      <c r="B122" s="83">
        <v>40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5"/>
      <c r="S122" s="86"/>
      <c r="T122" s="86"/>
      <c r="U122" s="86"/>
      <c r="V122" s="86"/>
      <c r="W122" s="86"/>
    </row>
    <row r="123" spans="1:23" ht="21">
      <c r="A123" s="90" t="s">
        <v>173</v>
      </c>
      <c r="B123" s="83"/>
      <c r="C123" s="84">
        <v>4</v>
      </c>
      <c r="D123" s="84">
        <v>26</v>
      </c>
      <c r="E123" s="84">
        <f>SUM(C123:D123)</f>
        <v>30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5"/>
      <c r="S123" s="86"/>
      <c r="T123" s="86"/>
      <c r="U123" s="86"/>
      <c r="V123" s="86"/>
      <c r="W123" s="86"/>
    </row>
    <row r="124" spans="1:23" ht="21">
      <c r="A124" s="90" t="s">
        <v>175</v>
      </c>
      <c r="B124" s="83"/>
      <c r="C124" s="84"/>
      <c r="D124" s="84"/>
      <c r="E124" s="84"/>
      <c r="F124" s="92"/>
      <c r="G124" s="92"/>
      <c r="H124" s="84"/>
      <c r="I124" s="84"/>
      <c r="J124" s="92"/>
      <c r="K124" s="92"/>
      <c r="L124" s="92"/>
      <c r="M124" s="92"/>
      <c r="N124" s="84">
        <f>F124+H124+J124+L124</f>
        <v>0</v>
      </c>
      <c r="O124" s="84">
        <f>G124+I124+K124+M124</f>
        <v>0</v>
      </c>
      <c r="P124" s="84"/>
      <c r="Q124" s="84"/>
      <c r="R124" s="85"/>
      <c r="S124" s="86"/>
      <c r="T124" s="86"/>
      <c r="U124" s="86"/>
      <c r="V124" s="86"/>
      <c r="W124" s="86"/>
    </row>
    <row r="125" spans="1:23" ht="21">
      <c r="A125" s="91" t="s">
        <v>144</v>
      </c>
      <c r="B125" s="83">
        <v>40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5"/>
      <c r="S125" s="86"/>
      <c r="T125" s="86"/>
      <c r="U125" s="86"/>
      <c r="V125" s="86"/>
      <c r="W125" s="86"/>
    </row>
    <row r="126" spans="1:23" ht="21">
      <c r="A126" s="90" t="s">
        <v>173</v>
      </c>
      <c r="B126" s="83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>
        <f>F126+H126+J126+L126</f>
        <v>0</v>
      </c>
      <c r="O126" s="84">
        <f>G126+I126+K126+M126</f>
        <v>0</v>
      </c>
      <c r="P126" s="84"/>
      <c r="Q126" s="84"/>
      <c r="R126" s="85"/>
      <c r="S126" s="86"/>
      <c r="T126" s="86"/>
      <c r="U126" s="86"/>
      <c r="V126" s="86"/>
      <c r="W126" s="86"/>
    </row>
    <row r="127" spans="1:23" ht="21">
      <c r="A127" s="90" t="s">
        <v>176</v>
      </c>
      <c r="B127" s="83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>
        <f>F127+H127+J127+L127</f>
        <v>0</v>
      </c>
      <c r="O127" s="84">
        <f>G127+I127+K127+M127</f>
        <v>0</v>
      </c>
      <c r="P127" s="84"/>
      <c r="Q127" s="84"/>
      <c r="R127" s="85"/>
      <c r="S127" s="86"/>
      <c r="T127" s="86"/>
      <c r="U127" s="86"/>
      <c r="V127" s="86"/>
      <c r="W127" s="86"/>
    </row>
    <row r="128" spans="1:23" ht="21">
      <c r="A128" s="91" t="s">
        <v>146</v>
      </c>
      <c r="B128" s="83">
        <v>40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5"/>
      <c r="S128" s="86"/>
      <c r="T128" s="86"/>
      <c r="U128" s="86"/>
      <c r="V128" s="86"/>
      <c r="W128" s="86"/>
    </row>
    <row r="129" spans="1:23" ht="21">
      <c r="A129" s="90" t="s">
        <v>156</v>
      </c>
      <c r="B129" s="83"/>
      <c r="C129" s="84">
        <v>11</v>
      </c>
      <c r="D129" s="84">
        <v>14</v>
      </c>
      <c r="E129" s="84">
        <f>SUM(C129:D129)</f>
        <v>25</v>
      </c>
      <c r="F129" s="84"/>
      <c r="G129" s="84"/>
      <c r="H129" s="84"/>
      <c r="I129" s="84"/>
      <c r="J129" s="84"/>
      <c r="K129" s="84"/>
      <c r="L129" s="84"/>
      <c r="M129" s="84"/>
      <c r="N129" s="84">
        <f>F129+H129+J129+L129</f>
        <v>0</v>
      </c>
      <c r="O129" s="84">
        <f>G129+I129+K129+M129</f>
        <v>0</v>
      </c>
      <c r="P129" s="84"/>
      <c r="Q129" s="84"/>
      <c r="R129" s="85"/>
      <c r="S129" s="86"/>
      <c r="T129" s="86"/>
      <c r="U129" s="86"/>
      <c r="V129" s="86"/>
      <c r="W129" s="86"/>
    </row>
    <row r="130" spans="1:23" ht="21">
      <c r="A130" s="90" t="s">
        <v>177</v>
      </c>
      <c r="B130" s="83"/>
      <c r="C130" s="84">
        <v>6</v>
      </c>
      <c r="D130" s="84">
        <v>4</v>
      </c>
      <c r="E130" s="84">
        <f>SUM(C130:D130)</f>
        <v>10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5"/>
      <c r="S130" s="86"/>
      <c r="T130" s="86"/>
      <c r="U130" s="86"/>
      <c r="V130" s="86"/>
      <c r="W130" s="86"/>
    </row>
    <row r="131" spans="1:23" ht="21">
      <c r="A131" s="90" t="s">
        <v>178</v>
      </c>
      <c r="B131" s="83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>
        <f>F131+H131+J131+L131</f>
        <v>0</v>
      </c>
      <c r="O131" s="84">
        <f>G131+I131+K131+M131</f>
        <v>0</v>
      </c>
      <c r="P131" s="84"/>
      <c r="Q131" s="84"/>
      <c r="R131" s="85"/>
      <c r="S131" s="86"/>
      <c r="T131" s="86"/>
      <c r="U131" s="86"/>
      <c r="V131" s="86"/>
      <c r="W131" s="86"/>
    </row>
    <row r="132" spans="1:23" ht="21">
      <c r="A132" s="91" t="s">
        <v>148</v>
      </c>
      <c r="B132" s="83">
        <v>40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5">
        <v>0.7</v>
      </c>
      <c r="S132" s="86"/>
      <c r="T132" s="86"/>
      <c r="U132" s="86"/>
      <c r="V132" s="86"/>
      <c r="W132" s="86"/>
    </row>
    <row r="133" spans="1:23" ht="21">
      <c r="A133" s="90" t="s">
        <v>156</v>
      </c>
      <c r="B133" s="83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>
        <f aca="true" t="shared" si="3" ref="N133:O135">F133+H133+J133+L133</f>
        <v>0</v>
      </c>
      <c r="O133" s="84">
        <f t="shared" si="3"/>
        <v>0</v>
      </c>
      <c r="P133" s="84"/>
      <c r="Q133" s="84"/>
      <c r="R133" s="85"/>
      <c r="S133" s="86"/>
      <c r="T133" s="86"/>
      <c r="U133" s="86"/>
      <c r="V133" s="86"/>
      <c r="W133" s="86"/>
    </row>
    <row r="134" spans="1:23" ht="21">
      <c r="A134" s="90" t="s">
        <v>177</v>
      </c>
      <c r="B134" s="83"/>
      <c r="C134" s="84">
        <v>6</v>
      </c>
      <c r="D134" s="84">
        <v>22</v>
      </c>
      <c r="E134" s="84">
        <f>SUM(C134:D134)</f>
        <v>28</v>
      </c>
      <c r="F134" s="84"/>
      <c r="G134" s="84"/>
      <c r="H134" s="84"/>
      <c r="I134" s="84"/>
      <c r="J134" s="84"/>
      <c r="K134" s="84"/>
      <c r="L134" s="84"/>
      <c r="M134" s="84"/>
      <c r="N134" s="84">
        <f t="shared" si="3"/>
        <v>0</v>
      </c>
      <c r="O134" s="84">
        <f t="shared" si="3"/>
        <v>0</v>
      </c>
      <c r="P134" s="84"/>
      <c r="Q134" s="84"/>
      <c r="R134" s="85"/>
      <c r="S134" s="86"/>
      <c r="T134" s="86"/>
      <c r="U134" s="86"/>
      <c r="V134" s="86"/>
      <c r="W134" s="86"/>
    </row>
    <row r="135" spans="1:23" ht="21">
      <c r="A135" s="90" t="s">
        <v>178</v>
      </c>
      <c r="B135" s="83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>
        <f t="shared" si="3"/>
        <v>0</v>
      </c>
      <c r="O135" s="84">
        <f t="shared" si="3"/>
        <v>0</v>
      </c>
      <c r="P135" s="84"/>
      <c r="Q135" s="84"/>
      <c r="R135" s="85"/>
      <c r="S135" s="86"/>
      <c r="T135" s="86"/>
      <c r="U135" s="86"/>
      <c r="V135" s="86"/>
      <c r="W135" s="86"/>
    </row>
    <row r="136" spans="1:23" ht="21">
      <c r="A136" s="82"/>
      <c r="B136" s="83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5"/>
      <c r="S136" s="86"/>
      <c r="T136" s="86"/>
      <c r="U136" s="86"/>
      <c r="V136" s="86"/>
      <c r="W136" s="86"/>
    </row>
    <row r="137" spans="1:23" ht="21">
      <c r="A137" s="82" t="s">
        <v>40</v>
      </c>
      <c r="B137" s="83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5"/>
      <c r="S137" s="86"/>
      <c r="T137" s="86"/>
      <c r="U137" s="86"/>
      <c r="V137" s="86"/>
      <c r="W137" s="86"/>
    </row>
    <row r="138" spans="1:23" ht="21">
      <c r="A138" s="88" t="s">
        <v>100</v>
      </c>
      <c r="B138" s="83">
        <v>60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5"/>
      <c r="S138" s="86"/>
      <c r="T138" s="86"/>
      <c r="U138" s="86"/>
      <c r="V138" s="86"/>
      <c r="W138" s="86"/>
    </row>
    <row r="139" spans="1:23" ht="21">
      <c r="A139" s="25" t="s">
        <v>179</v>
      </c>
      <c r="B139" s="83"/>
      <c r="C139" s="84">
        <v>9</v>
      </c>
      <c r="D139" s="84">
        <v>19</v>
      </c>
      <c r="E139" s="84">
        <f>SUM(C139:D139)</f>
        <v>28</v>
      </c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5"/>
      <c r="S139" s="86"/>
      <c r="T139" s="86"/>
      <c r="U139" s="86"/>
      <c r="V139" s="86"/>
      <c r="W139" s="86"/>
    </row>
    <row r="140" spans="1:23" ht="21">
      <c r="A140" s="25" t="s">
        <v>180</v>
      </c>
      <c r="B140" s="83"/>
      <c r="C140" s="84">
        <v>3</v>
      </c>
      <c r="D140" s="84">
        <v>10</v>
      </c>
      <c r="E140" s="84">
        <v>13</v>
      </c>
      <c r="F140" s="93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5"/>
      <c r="S140" s="86"/>
      <c r="T140" s="86"/>
      <c r="U140" s="86"/>
      <c r="V140" s="86"/>
      <c r="W140" s="86"/>
    </row>
    <row r="141" spans="1:23" ht="21">
      <c r="A141" s="25" t="s">
        <v>181</v>
      </c>
      <c r="B141" s="83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>
        <f>F141+H141+J141+L141</f>
        <v>0</v>
      </c>
      <c r="O141" s="84">
        <f>G141+I141+K141+M141</f>
        <v>0</v>
      </c>
      <c r="P141" s="84"/>
      <c r="Q141" s="84"/>
      <c r="R141" s="85"/>
      <c r="S141" s="86"/>
      <c r="T141" s="86"/>
      <c r="U141" s="86"/>
      <c r="V141" s="86"/>
      <c r="W141" s="86"/>
    </row>
    <row r="142" spans="1:23" ht="21">
      <c r="A142" s="25" t="s">
        <v>182</v>
      </c>
      <c r="B142" s="83"/>
      <c r="C142" s="84">
        <v>10</v>
      </c>
      <c r="D142" s="84">
        <v>22</v>
      </c>
      <c r="E142" s="84">
        <f>SUM(C142:D142)</f>
        <v>32</v>
      </c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5"/>
      <c r="S142" s="86"/>
      <c r="T142" s="86"/>
      <c r="U142" s="86"/>
      <c r="V142" s="86"/>
      <c r="W142" s="86"/>
    </row>
    <row r="143" spans="1:23" ht="21">
      <c r="A143" s="25" t="s">
        <v>183</v>
      </c>
      <c r="B143" s="83"/>
      <c r="C143" s="84">
        <v>8</v>
      </c>
      <c r="D143" s="84">
        <v>32</v>
      </c>
      <c r="E143" s="84">
        <f>SUM(C143:D143)</f>
        <v>40</v>
      </c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5"/>
      <c r="S143" s="86"/>
      <c r="T143" s="86"/>
      <c r="U143" s="86"/>
      <c r="V143" s="86"/>
      <c r="W143" s="86"/>
    </row>
    <row r="144" spans="1:23" ht="21">
      <c r="A144" s="25" t="s">
        <v>184</v>
      </c>
      <c r="B144" s="83"/>
      <c r="C144" s="84">
        <v>15</v>
      </c>
      <c r="D144" s="84">
        <v>26</v>
      </c>
      <c r="E144" s="84">
        <f>SUM(C144:D144)</f>
        <v>41</v>
      </c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5"/>
      <c r="S144" s="86"/>
      <c r="T144" s="86"/>
      <c r="U144" s="86"/>
      <c r="V144" s="86"/>
      <c r="W144" s="86"/>
    </row>
    <row r="145" spans="1:23" ht="21">
      <c r="A145" s="21" t="s">
        <v>104</v>
      </c>
      <c r="B145" s="83">
        <v>60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5"/>
      <c r="S145" s="86"/>
      <c r="T145" s="86"/>
      <c r="U145" s="86"/>
      <c r="V145" s="86"/>
      <c r="W145" s="86"/>
    </row>
    <row r="146" spans="1:23" ht="21">
      <c r="A146" s="25" t="s">
        <v>185</v>
      </c>
      <c r="B146" s="83"/>
      <c r="C146" s="84">
        <v>11</v>
      </c>
      <c r="D146" s="84">
        <v>4</v>
      </c>
      <c r="E146" s="84">
        <f>SUM(C146:D146)</f>
        <v>15</v>
      </c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5"/>
      <c r="S146" s="86"/>
      <c r="T146" s="86"/>
      <c r="U146" s="86"/>
      <c r="V146" s="86"/>
      <c r="W146" s="86"/>
    </row>
    <row r="147" spans="1:23" ht="21">
      <c r="A147" s="25" t="s">
        <v>109</v>
      </c>
      <c r="B147" s="83"/>
      <c r="C147" s="84">
        <v>14</v>
      </c>
      <c r="D147" s="84">
        <v>24</v>
      </c>
      <c r="E147" s="84">
        <f>SUM(C147:D147)</f>
        <v>38</v>
      </c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5"/>
      <c r="S147" s="86"/>
      <c r="T147" s="86"/>
      <c r="U147" s="86"/>
      <c r="V147" s="86"/>
      <c r="W147" s="86"/>
    </row>
    <row r="148" spans="1:23" ht="21">
      <c r="A148" s="25" t="s">
        <v>186</v>
      </c>
      <c r="B148" s="83"/>
      <c r="C148" s="84">
        <v>0</v>
      </c>
      <c r="D148" s="84">
        <v>3</v>
      </c>
      <c r="E148" s="84">
        <f>SUM(C148:D148)</f>
        <v>3</v>
      </c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94"/>
      <c r="S148" s="86"/>
      <c r="T148" s="86"/>
      <c r="U148" s="86"/>
      <c r="V148" s="86"/>
      <c r="W148" s="86"/>
    </row>
    <row r="149" spans="1:23" ht="21">
      <c r="A149" s="25" t="s">
        <v>187</v>
      </c>
      <c r="B149" s="83"/>
      <c r="C149" s="84"/>
      <c r="D149" s="84"/>
      <c r="E149" s="84"/>
      <c r="F149" s="84">
        <v>0</v>
      </c>
      <c r="G149" s="84">
        <v>2</v>
      </c>
      <c r="H149" s="84">
        <v>12</v>
      </c>
      <c r="I149" s="84">
        <v>9</v>
      </c>
      <c r="J149" s="84">
        <v>4</v>
      </c>
      <c r="K149" s="84">
        <v>5</v>
      </c>
      <c r="L149" s="84">
        <v>1</v>
      </c>
      <c r="M149" s="84">
        <v>3</v>
      </c>
      <c r="N149" s="84">
        <f>F149+H149+J149+L149</f>
        <v>17</v>
      </c>
      <c r="O149" s="84">
        <f>G149+I149+K149+M149</f>
        <v>19</v>
      </c>
      <c r="P149" s="84">
        <v>19</v>
      </c>
      <c r="Q149" s="84">
        <v>17</v>
      </c>
      <c r="R149" s="94"/>
      <c r="S149" s="86"/>
      <c r="T149" s="86"/>
      <c r="U149" s="86"/>
      <c r="V149" s="86"/>
      <c r="W149" s="86"/>
    </row>
    <row r="150" spans="1:23" ht="21">
      <c r="A150" s="25" t="s">
        <v>188</v>
      </c>
      <c r="B150" s="83"/>
      <c r="C150" s="84"/>
      <c r="D150" s="84"/>
      <c r="E150" s="84"/>
      <c r="F150" s="84">
        <v>0</v>
      </c>
      <c r="G150" s="84">
        <v>1</v>
      </c>
      <c r="H150" s="84">
        <v>11</v>
      </c>
      <c r="I150" s="84">
        <v>10</v>
      </c>
      <c r="J150" s="84">
        <v>1</v>
      </c>
      <c r="K150" s="84">
        <v>6</v>
      </c>
      <c r="L150" s="84">
        <v>0</v>
      </c>
      <c r="M150" s="84">
        <v>4</v>
      </c>
      <c r="N150" s="84">
        <f>F150+H150+J150+L150</f>
        <v>12</v>
      </c>
      <c r="O150" s="84">
        <f>G150+I150+K150+M150</f>
        <v>21</v>
      </c>
      <c r="P150" s="84">
        <v>12</v>
      </c>
      <c r="Q150" s="84">
        <v>21</v>
      </c>
      <c r="R150" s="94"/>
      <c r="S150" s="86"/>
      <c r="T150" s="86"/>
      <c r="U150" s="86"/>
      <c r="V150" s="86"/>
      <c r="W150" s="86"/>
    </row>
    <row r="151" spans="1:23" ht="21">
      <c r="A151" s="21" t="s">
        <v>108</v>
      </c>
      <c r="B151" s="83">
        <v>60</v>
      </c>
      <c r="C151" s="84"/>
      <c r="D151" s="84"/>
      <c r="E151" s="84"/>
      <c r="F151" s="92"/>
      <c r="G151" s="84"/>
      <c r="H151" s="84"/>
      <c r="I151" s="84"/>
      <c r="J151" s="92"/>
      <c r="K151" s="92"/>
      <c r="L151" s="92"/>
      <c r="M151" s="92"/>
      <c r="N151" s="84"/>
      <c r="O151" s="84"/>
      <c r="P151" s="84"/>
      <c r="Q151" s="84"/>
      <c r="R151" s="85"/>
      <c r="S151" s="86"/>
      <c r="T151" s="86"/>
      <c r="U151" s="86"/>
      <c r="V151" s="86"/>
      <c r="W151" s="86"/>
    </row>
    <row r="152" spans="1:23" ht="42">
      <c r="A152" s="25" t="s">
        <v>189</v>
      </c>
      <c r="B152" s="83"/>
      <c r="C152" s="84">
        <v>6</v>
      </c>
      <c r="D152" s="84">
        <v>7</v>
      </c>
      <c r="E152" s="84">
        <f>SUM(C152:D152)</f>
        <v>13</v>
      </c>
      <c r="F152" s="92"/>
      <c r="G152" s="92"/>
      <c r="H152" s="84"/>
      <c r="I152" s="84"/>
      <c r="J152" s="92"/>
      <c r="K152" s="84"/>
      <c r="L152" s="92"/>
      <c r="M152" s="92"/>
      <c r="N152" s="84"/>
      <c r="O152" s="84"/>
      <c r="P152" s="84"/>
      <c r="Q152" s="84"/>
      <c r="R152" s="85"/>
      <c r="S152" s="86"/>
      <c r="T152" s="86"/>
      <c r="U152" s="86"/>
      <c r="V152" s="86"/>
      <c r="W152" s="86"/>
    </row>
    <row r="153" spans="1:23" ht="21">
      <c r="A153" s="25" t="s">
        <v>190</v>
      </c>
      <c r="B153" s="83"/>
      <c r="C153" s="84"/>
      <c r="D153" s="84"/>
      <c r="E153" s="84">
        <f>SUM(C153:D153)</f>
        <v>0</v>
      </c>
      <c r="F153" s="84"/>
      <c r="G153" s="84"/>
      <c r="H153" s="84"/>
      <c r="I153" s="84"/>
      <c r="J153" s="84"/>
      <c r="K153" s="84"/>
      <c r="L153" s="84"/>
      <c r="M153" s="84"/>
      <c r="N153" s="84">
        <f>F153+H153+J153+L153</f>
        <v>0</v>
      </c>
      <c r="O153" s="84">
        <f>G153+I153+K153+M153</f>
        <v>0</v>
      </c>
      <c r="P153" s="84"/>
      <c r="Q153" s="84"/>
      <c r="R153" s="85"/>
      <c r="S153" s="86"/>
      <c r="T153" s="86"/>
      <c r="U153" s="86"/>
      <c r="V153" s="86"/>
      <c r="W153" s="86"/>
    </row>
    <row r="154" spans="1:23" ht="21">
      <c r="A154" s="25" t="s">
        <v>191</v>
      </c>
      <c r="B154" s="83"/>
      <c r="C154" s="84">
        <v>14</v>
      </c>
      <c r="D154" s="84">
        <v>12</v>
      </c>
      <c r="E154" s="84">
        <f>SUM(C154:D154)</f>
        <v>26</v>
      </c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5"/>
      <c r="S154" s="86"/>
      <c r="T154" s="86"/>
      <c r="U154" s="86"/>
      <c r="V154" s="86"/>
      <c r="W154" s="86"/>
    </row>
    <row r="155" spans="1:23" ht="21">
      <c r="A155" s="21" t="s">
        <v>113</v>
      </c>
      <c r="B155" s="83">
        <v>60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5"/>
      <c r="S155" s="86"/>
      <c r="T155" s="86"/>
      <c r="U155" s="86"/>
      <c r="V155" s="86"/>
      <c r="W155" s="86"/>
    </row>
    <row r="156" spans="1:23" ht="21">
      <c r="A156" s="25" t="s">
        <v>192</v>
      </c>
      <c r="B156" s="83"/>
      <c r="C156" s="84"/>
      <c r="D156" s="84"/>
      <c r="E156" s="84"/>
      <c r="F156" s="92"/>
      <c r="G156" s="92"/>
      <c r="H156" s="92"/>
      <c r="I156" s="92"/>
      <c r="J156" s="92"/>
      <c r="K156" s="92"/>
      <c r="L156" s="92"/>
      <c r="M156" s="92"/>
      <c r="N156" s="84">
        <f>F156+H156+J156+L156</f>
        <v>0</v>
      </c>
      <c r="O156" s="84">
        <f>G156+I156+K156+M156</f>
        <v>0</v>
      </c>
      <c r="P156" s="84"/>
      <c r="Q156" s="84"/>
      <c r="R156" s="85"/>
      <c r="S156" s="86"/>
      <c r="T156" s="86"/>
      <c r="U156" s="86"/>
      <c r="V156" s="86"/>
      <c r="W156" s="86"/>
    </row>
    <row r="157" spans="1:23" ht="42">
      <c r="A157" s="25" t="s">
        <v>193</v>
      </c>
      <c r="B157" s="83"/>
      <c r="C157" s="84"/>
      <c r="D157" s="84"/>
      <c r="E157" s="84"/>
      <c r="F157" s="92"/>
      <c r="G157" s="92"/>
      <c r="H157" s="92"/>
      <c r="I157" s="92"/>
      <c r="J157" s="92"/>
      <c r="K157" s="92"/>
      <c r="L157" s="92"/>
      <c r="M157" s="92"/>
      <c r="N157" s="84">
        <f>F157+H157+J157+L157</f>
        <v>0</v>
      </c>
      <c r="O157" s="84">
        <f>G157+I157+K157+M157</f>
        <v>0</v>
      </c>
      <c r="P157" s="84"/>
      <c r="Q157" s="84"/>
      <c r="R157" s="85"/>
      <c r="S157" s="86"/>
      <c r="T157" s="86"/>
      <c r="U157" s="86"/>
      <c r="V157" s="86"/>
      <c r="W157" s="86"/>
    </row>
    <row r="158" spans="1:23" ht="21">
      <c r="A158" s="25" t="s">
        <v>194</v>
      </c>
      <c r="B158" s="83"/>
      <c r="C158" s="84">
        <v>11</v>
      </c>
      <c r="D158" s="84">
        <v>19</v>
      </c>
      <c r="E158" s="84">
        <f>SUM(C158:D158)</f>
        <v>30</v>
      </c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5"/>
      <c r="S158" s="86"/>
      <c r="T158" s="86"/>
      <c r="U158" s="86"/>
      <c r="V158" s="86"/>
      <c r="W158" s="86"/>
    </row>
    <row r="159" spans="1:23" ht="21">
      <c r="A159" s="21" t="s">
        <v>117</v>
      </c>
      <c r="B159" s="83">
        <v>60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5"/>
      <c r="S159" s="86"/>
      <c r="T159" s="86"/>
      <c r="U159" s="86"/>
      <c r="V159" s="86"/>
      <c r="W159" s="86"/>
    </row>
    <row r="160" spans="1:23" ht="21">
      <c r="A160" s="25" t="s">
        <v>195</v>
      </c>
      <c r="B160" s="83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>
        <f aca="true" t="shared" si="4" ref="N160:O162">F160+H160+J160+L160</f>
        <v>0</v>
      </c>
      <c r="O160" s="84">
        <f t="shared" si="4"/>
        <v>0</v>
      </c>
      <c r="P160" s="84"/>
      <c r="Q160" s="84"/>
      <c r="R160" s="85"/>
      <c r="S160" s="86"/>
      <c r="T160" s="86"/>
      <c r="U160" s="86"/>
      <c r="V160" s="86"/>
      <c r="W160" s="86"/>
    </row>
    <row r="161" spans="1:23" ht="21">
      <c r="A161" s="21" t="s">
        <v>196</v>
      </c>
      <c r="B161" s="83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>
        <f t="shared" si="4"/>
        <v>0</v>
      </c>
      <c r="O161" s="84">
        <f t="shared" si="4"/>
        <v>0</v>
      </c>
      <c r="P161" s="84"/>
      <c r="Q161" s="84"/>
      <c r="R161" s="85"/>
      <c r="S161" s="86"/>
      <c r="T161" s="86"/>
      <c r="U161" s="86"/>
      <c r="V161" s="86"/>
      <c r="W161" s="86"/>
    </row>
    <row r="162" spans="1:23" ht="21">
      <c r="A162" s="25" t="s">
        <v>197</v>
      </c>
      <c r="B162" s="83"/>
      <c r="C162" s="84"/>
      <c r="D162" s="84"/>
      <c r="E162" s="84"/>
      <c r="F162" s="92"/>
      <c r="G162" s="84"/>
      <c r="H162" s="84"/>
      <c r="I162" s="84"/>
      <c r="J162" s="92"/>
      <c r="K162" s="92"/>
      <c r="L162" s="92"/>
      <c r="M162" s="92"/>
      <c r="N162" s="84">
        <f t="shared" si="4"/>
        <v>0</v>
      </c>
      <c r="O162" s="84">
        <f t="shared" si="4"/>
        <v>0</v>
      </c>
      <c r="P162" s="84"/>
      <c r="Q162" s="84"/>
      <c r="R162" s="85"/>
      <c r="S162" s="86"/>
      <c r="T162" s="86"/>
      <c r="U162" s="86"/>
      <c r="V162" s="86"/>
      <c r="W162" s="86"/>
    </row>
    <row r="163" spans="1:23" ht="21">
      <c r="A163" s="21" t="s">
        <v>122</v>
      </c>
      <c r="B163" s="83">
        <v>60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5"/>
      <c r="S163" s="86"/>
      <c r="T163" s="86"/>
      <c r="U163" s="86"/>
      <c r="V163" s="86"/>
      <c r="W163" s="86"/>
    </row>
    <row r="164" spans="1:23" ht="21">
      <c r="A164" s="21" t="s">
        <v>198</v>
      </c>
      <c r="B164" s="83"/>
      <c r="C164" s="84">
        <v>15</v>
      </c>
      <c r="D164" s="84">
        <v>15</v>
      </c>
      <c r="E164" s="84">
        <f>SUM(C164:D164)</f>
        <v>30</v>
      </c>
      <c r="F164" s="84"/>
      <c r="G164" s="84"/>
      <c r="H164" s="84"/>
      <c r="I164" s="84"/>
      <c r="J164" s="84"/>
      <c r="K164" s="84"/>
      <c r="L164" s="84"/>
      <c r="M164" s="84"/>
      <c r="N164" s="84">
        <f>F164+H164+J164+L164</f>
        <v>0</v>
      </c>
      <c r="O164" s="84">
        <f>G164+I164+K164+M164</f>
        <v>0</v>
      </c>
      <c r="P164" s="84"/>
      <c r="Q164" s="84"/>
      <c r="R164" s="85"/>
      <c r="S164" s="86"/>
      <c r="T164" s="86"/>
      <c r="U164" s="86"/>
      <c r="V164" s="86"/>
      <c r="W164" s="86"/>
    </row>
    <row r="165" spans="1:23" ht="21">
      <c r="A165" s="21" t="s">
        <v>199</v>
      </c>
      <c r="B165" s="83"/>
      <c r="C165" s="84">
        <v>15</v>
      </c>
      <c r="D165" s="84">
        <v>15</v>
      </c>
      <c r="E165" s="84">
        <f>SUM(C165:D165)</f>
        <v>30</v>
      </c>
      <c r="F165" s="84"/>
      <c r="G165" s="84"/>
      <c r="H165" s="84"/>
      <c r="I165" s="84"/>
      <c r="J165" s="84"/>
      <c r="K165" s="84"/>
      <c r="L165" s="84"/>
      <c r="M165" s="84"/>
      <c r="N165" s="84">
        <f>F165+H165+J165+L165</f>
        <v>0</v>
      </c>
      <c r="O165" s="84">
        <f>G165+I165+K165+M165</f>
        <v>0</v>
      </c>
      <c r="P165" s="84"/>
      <c r="Q165" s="84"/>
      <c r="R165" s="85"/>
      <c r="S165" s="86"/>
      <c r="T165" s="86"/>
      <c r="U165" s="86"/>
      <c r="V165" s="86"/>
      <c r="W165" s="86"/>
    </row>
    <row r="166" spans="1:23" ht="21">
      <c r="A166" s="21" t="s">
        <v>126</v>
      </c>
      <c r="B166" s="83">
        <v>60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5"/>
      <c r="S166" s="86"/>
      <c r="T166" s="86"/>
      <c r="U166" s="86"/>
      <c r="V166" s="86"/>
      <c r="W166" s="86"/>
    </row>
    <row r="167" spans="1:23" ht="21">
      <c r="A167" s="25" t="s">
        <v>200</v>
      </c>
      <c r="B167" s="83"/>
      <c r="C167" s="84">
        <v>10</v>
      </c>
      <c r="D167" s="84">
        <v>15</v>
      </c>
      <c r="E167" s="84">
        <f>SUM(C167:D167)</f>
        <v>25</v>
      </c>
      <c r="F167" s="84"/>
      <c r="G167" s="84"/>
      <c r="H167" s="84"/>
      <c r="I167" s="84"/>
      <c r="J167" s="84"/>
      <c r="K167" s="84"/>
      <c r="L167" s="92"/>
      <c r="M167" s="92"/>
      <c r="N167" s="84"/>
      <c r="O167" s="84"/>
      <c r="P167" s="84"/>
      <c r="Q167" s="84"/>
      <c r="R167" s="85"/>
      <c r="S167" s="86"/>
      <c r="T167" s="86"/>
      <c r="U167" s="86"/>
      <c r="V167" s="86"/>
      <c r="W167" s="86"/>
    </row>
    <row r="168" spans="1:23" ht="21">
      <c r="A168" s="25" t="s">
        <v>201</v>
      </c>
      <c r="B168" s="83"/>
      <c r="C168" s="84">
        <v>13</v>
      </c>
      <c r="D168" s="84">
        <v>12</v>
      </c>
      <c r="E168" s="84">
        <f>SUM(C168:D168)</f>
        <v>25</v>
      </c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5"/>
      <c r="S168" s="86"/>
      <c r="T168" s="86"/>
      <c r="U168" s="86"/>
      <c r="V168" s="86"/>
      <c r="W168" s="86"/>
    </row>
    <row r="169" spans="1:23" ht="21">
      <c r="A169" s="25" t="s">
        <v>202</v>
      </c>
      <c r="B169" s="83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>
        <f>F169+H169+J169+L169</f>
        <v>0</v>
      </c>
      <c r="O169" s="84">
        <f>G169+I169+K169+M169</f>
        <v>0</v>
      </c>
      <c r="P169" s="84"/>
      <c r="Q169" s="84"/>
      <c r="R169" s="85"/>
      <c r="S169" s="86"/>
      <c r="T169" s="86"/>
      <c r="U169" s="86"/>
      <c r="V169" s="86"/>
      <c r="W169" s="86"/>
    </row>
    <row r="170" spans="1:23" ht="21">
      <c r="A170" s="21" t="s">
        <v>129</v>
      </c>
      <c r="B170" s="83">
        <v>60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5"/>
      <c r="S170" s="86"/>
      <c r="T170" s="86"/>
      <c r="U170" s="86"/>
      <c r="V170" s="86"/>
      <c r="W170" s="86"/>
    </row>
    <row r="171" spans="1:23" ht="21">
      <c r="A171" s="25" t="s">
        <v>200</v>
      </c>
      <c r="B171" s="83"/>
      <c r="C171" s="84">
        <v>9</v>
      </c>
      <c r="D171" s="84">
        <v>16</v>
      </c>
      <c r="E171" s="84">
        <f>SUM(C171:D171)</f>
        <v>25</v>
      </c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5"/>
      <c r="S171" s="86"/>
      <c r="T171" s="86"/>
      <c r="U171" s="86"/>
      <c r="V171" s="86"/>
      <c r="W171" s="86"/>
    </row>
    <row r="172" spans="1:23" ht="21">
      <c r="A172" s="25" t="s">
        <v>203</v>
      </c>
      <c r="B172" s="83"/>
      <c r="C172" s="84">
        <v>6</v>
      </c>
      <c r="D172" s="84">
        <v>14</v>
      </c>
      <c r="E172" s="84">
        <f>SUM(C172:D172)</f>
        <v>20</v>
      </c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5"/>
      <c r="S172" s="86"/>
      <c r="T172" s="86"/>
      <c r="U172" s="86"/>
      <c r="V172" s="86"/>
      <c r="W172" s="86"/>
    </row>
    <row r="173" spans="1:23" ht="21">
      <c r="A173" s="25" t="s">
        <v>204</v>
      </c>
      <c r="B173" s="83"/>
      <c r="C173" s="84">
        <v>0</v>
      </c>
      <c r="D173" s="84">
        <v>22</v>
      </c>
      <c r="E173" s="84">
        <f>SUM(C173:D173)</f>
        <v>22</v>
      </c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5"/>
      <c r="S173" s="86"/>
      <c r="T173" s="86"/>
      <c r="U173" s="86"/>
      <c r="V173" s="86"/>
      <c r="W173" s="86"/>
    </row>
    <row r="174" spans="1:23" ht="21">
      <c r="A174" s="21" t="s">
        <v>132</v>
      </c>
      <c r="B174" s="83">
        <v>60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5"/>
      <c r="S174" s="86"/>
      <c r="T174" s="86"/>
      <c r="U174" s="86"/>
      <c r="V174" s="86"/>
      <c r="W174" s="86"/>
    </row>
    <row r="175" spans="1:23" ht="21">
      <c r="A175" s="25" t="s">
        <v>195</v>
      </c>
      <c r="B175" s="83"/>
      <c r="C175" s="84">
        <v>17</v>
      </c>
      <c r="D175" s="84">
        <v>18</v>
      </c>
      <c r="E175" s="84">
        <f>SUM(C175:D175)</f>
        <v>35</v>
      </c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5"/>
      <c r="S175" s="86"/>
      <c r="T175" s="86"/>
      <c r="U175" s="86"/>
      <c r="V175" s="86"/>
      <c r="W175" s="86"/>
    </row>
    <row r="176" spans="1:23" ht="21">
      <c r="A176" s="25" t="s">
        <v>205</v>
      </c>
      <c r="B176" s="83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>
        <f>F176+H176+J176+L176</f>
        <v>0</v>
      </c>
      <c r="O176" s="84">
        <f>G176+I176+K176+M176</f>
        <v>0</v>
      </c>
      <c r="P176" s="84"/>
      <c r="Q176" s="84"/>
      <c r="R176" s="85"/>
      <c r="S176" s="86"/>
      <c r="T176" s="86"/>
      <c r="U176" s="86"/>
      <c r="V176" s="86"/>
      <c r="W176" s="86"/>
    </row>
    <row r="177" spans="1:23" ht="21">
      <c r="A177" s="21" t="s">
        <v>134</v>
      </c>
      <c r="B177" s="83">
        <v>60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5"/>
      <c r="S177" s="86"/>
      <c r="T177" s="86"/>
      <c r="U177" s="86"/>
      <c r="V177" s="86"/>
      <c r="W177" s="86"/>
    </row>
    <row r="178" spans="1:23" ht="21">
      <c r="A178" s="25" t="s">
        <v>206</v>
      </c>
      <c r="B178" s="83"/>
      <c r="C178" s="84">
        <v>22</v>
      </c>
      <c r="D178" s="84">
        <v>35</v>
      </c>
      <c r="E178" s="84">
        <f>SUM(C178:D178)</f>
        <v>57</v>
      </c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5"/>
      <c r="S178" s="86"/>
      <c r="T178" s="86"/>
      <c r="U178" s="86"/>
      <c r="V178" s="86"/>
      <c r="W178" s="86"/>
    </row>
    <row r="179" spans="1:23" ht="21">
      <c r="A179" s="25" t="s">
        <v>207</v>
      </c>
      <c r="B179" s="83"/>
      <c r="C179" s="84">
        <v>6</v>
      </c>
      <c r="D179" s="84">
        <v>24</v>
      </c>
      <c r="E179" s="84">
        <f>SUM(C179:D179)</f>
        <v>30</v>
      </c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5"/>
      <c r="S179" s="86"/>
      <c r="T179" s="86"/>
      <c r="U179" s="86"/>
      <c r="V179" s="86"/>
      <c r="W179" s="86"/>
    </row>
    <row r="180" spans="1:23" ht="21">
      <c r="A180" s="25" t="s">
        <v>208</v>
      </c>
      <c r="B180" s="83"/>
      <c r="C180" s="84">
        <v>14</v>
      </c>
      <c r="D180" s="84">
        <v>23</v>
      </c>
      <c r="E180" s="84">
        <f>SUM(C180:D180)</f>
        <v>37</v>
      </c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5"/>
      <c r="S180" s="86"/>
      <c r="T180" s="86"/>
      <c r="U180" s="86"/>
      <c r="V180" s="86"/>
      <c r="W180" s="86"/>
    </row>
    <row r="181" spans="1:23" ht="21">
      <c r="A181" s="21" t="s">
        <v>137</v>
      </c>
      <c r="B181" s="83">
        <v>60</v>
      </c>
      <c r="C181" s="84"/>
      <c r="D181" s="84"/>
      <c r="E181" s="84"/>
      <c r="F181" s="95"/>
      <c r="G181" s="95"/>
      <c r="H181" s="95"/>
      <c r="I181" s="95"/>
      <c r="J181" s="95"/>
      <c r="K181" s="95"/>
      <c r="L181" s="95"/>
      <c r="M181" s="95"/>
      <c r="N181" s="84"/>
      <c r="O181" s="84"/>
      <c r="P181" s="95"/>
      <c r="Q181" s="95"/>
      <c r="R181" s="85"/>
      <c r="S181" s="86"/>
      <c r="T181" s="86"/>
      <c r="U181" s="86"/>
      <c r="V181" s="86"/>
      <c r="W181" s="86"/>
    </row>
    <row r="182" spans="1:23" ht="21">
      <c r="A182" s="25" t="s">
        <v>209</v>
      </c>
      <c r="B182" s="83"/>
      <c r="C182" s="84">
        <v>7</v>
      </c>
      <c r="D182" s="84">
        <v>26</v>
      </c>
      <c r="E182" s="84">
        <f>SUM(C182:D182)</f>
        <v>33</v>
      </c>
      <c r="F182" s="96"/>
      <c r="G182" s="96"/>
      <c r="H182" s="96"/>
      <c r="I182" s="96"/>
      <c r="J182" s="96"/>
      <c r="K182" s="96"/>
      <c r="L182" s="96"/>
      <c r="M182" s="96"/>
      <c r="N182" s="84"/>
      <c r="O182" s="84"/>
      <c r="P182" s="96"/>
      <c r="Q182" s="96"/>
      <c r="R182" s="85"/>
      <c r="S182" s="86"/>
      <c r="T182" s="86"/>
      <c r="U182" s="86"/>
      <c r="V182" s="86"/>
      <c r="W182" s="86"/>
    </row>
    <row r="183" spans="1:23" ht="21">
      <c r="A183" s="25" t="s">
        <v>201</v>
      </c>
      <c r="B183" s="83"/>
      <c r="C183" s="84">
        <v>13</v>
      </c>
      <c r="D183" s="84">
        <v>22</v>
      </c>
      <c r="E183" s="84">
        <f>SUM(C183:D183)</f>
        <v>35</v>
      </c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5"/>
      <c r="S183" s="86"/>
      <c r="T183" s="86"/>
      <c r="U183" s="86"/>
      <c r="V183" s="86"/>
      <c r="W183" s="86"/>
    </row>
    <row r="184" spans="1:23" ht="21">
      <c r="A184" s="21" t="s">
        <v>139</v>
      </c>
      <c r="B184" s="83">
        <v>60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5"/>
      <c r="S184" s="86"/>
      <c r="T184" s="86"/>
      <c r="U184" s="86"/>
      <c r="V184" s="86"/>
      <c r="W184" s="97"/>
    </row>
    <row r="185" spans="1:23" ht="21">
      <c r="A185" s="25" t="s">
        <v>210</v>
      </c>
      <c r="B185" s="83"/>
      <c r="C185" s="84">
        <v>12</v>
      </c>
      <c r="D185" s="84">
        <v>18</v>
      </c>
      <c r="E185" s="84">
        <f>SUM(C185:D185)</f>
        <v>30</v>
      </c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98"/>
      <c r="S185" s="99"/>
      <c r="T185" s="99"/>
      <c r="U185" s="99"/>
      <c r="V185" s="99"/>
      <c r="W185" s="86"/>
    </row>
    <row r="186" spans="1:23" ht="21">
      <c r="A186" s="90" t="s">
        <v>201</v>
      </c>
      <c r="B186" s="83"/>
      <c r="C186" s="84">
        <v>3</v>
      </c>
      <c r="D186" s="84">
        <v>27</v>
      </c>
      <c r="E186" s="84">
        <f>SUM(C186:D186)</f>
        <v>30</v>
      </c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98"/>
      <c r="S186" s="99"/>
      <c r="T186" s="99"/>
      <c r="U186" s="99"/>
      <c r="V186" s="99"/>
      <c r="W186" s="86"/>
    </row>
    <row r="187" spans="1:23" ht="21">
      <c r="A187" s="91" t="s">
        <v>141</v>
      </c>
      <c r="B187" s="83">
        <v>60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5"/>
      <c r="S187" s="86"/>
      <c r="T187" s="86"/>
      <c r="U187" s="86"/>
      <c r="V187" s="86"/>
      <c r="W187" s="86"/>
    </row>
    <row r="188" spans="1:23" ht="21">
      <c r="A188" s="90" t="s">
        <v>211</v>
      </c>
      <c r="B188" s="83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>
        <f>F188+H188+J188+L188</f>
        <v>0</v>
      </c>
      <c r="O188" s="84">
        <f>G188+I188+K188+M188</f>
        <v>0</v>
      </c>
      <c r="P188" s="84"/>
      <c r="Q188" s="84"/>
      <c r="R188" s="85"/>
      <c r="S188" s="86"/>
      <c r="T188" s="86"/>
      <c r="U188" s="86"/>
      <c r="V188" s="86"/>
      <c r="W188" s="86"/>
    </row>
    <row r="189" spans="1:23" ht="21">
      <c r="A189" s="90" t="s">
        <v>201</v>
      </c>
      <c r="B189" s="83"/>
      <c r="C189" s="84">
        <v>10</v>
      </c>
      <c r="D189" s="84">
        <v>10</v>
      </c>
      <c r="E189" s="84">
        <f>SUM(C189:D189)</f>
        <v>20</v>
      </c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5"/>
      <c r="S189" s="86"/>
      <c r="T189" s="86"/>
      <c r="U189" s="86"/>
      <c r="V189" s="86"/>
      <c r="W189" s="86"/>
    </row>
    <row r="190" spans="1:23" ht="21">
      <c r="A190" s="90" t="s">
        <v>212</v>
      </c>
      <c r="B190" s="83"/>
      <c r="C190" s="84">
        <v>12</v>
      </c>
      <c r="D190" s="84">
        <v>18</v>
      </c>
      <c r="E190" s="84">
        <f>SUM(C190:D190)</f>
        <v>30</v>
      </c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5"/>
      <c r="S190" s="86"/>
      <c r="T190" s="86"/>
      <c r="U190" s="86"/>
      <c r="V190" s="86"/>
      <c r="W190" s="86"/>
    </row>
    <row r="191" spans="1:23" ht="21">
      <c r="A191" s="90" t="s">
        <v>213</v>
      </c>
      <c r="B191" s="83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5"/>
      <c r="S191" s="86"/>
      <c r="T191" s="86"/>
      <c r="U191" s="86"/>
      <c r="V191" s="86"/>
      <c r="W191" s="86"/>
    </row>
    <row r="192" spans="1:23" ht="21">
      <c r="A192" s="91" t="s">
        <v>144</v>
      </c>
      <c r="B192" s="83">
        <v>60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5"/>
      <c r="S192" s="86"/>
      <c r="T192" s="86"/>
      <c r="U192" s="86"/>
      <c r="V192" s="86"/>
      <c r="W192" s="86"/>
    </row>
    <row r="193" spans="1:23" ht="21">
      <c r="A193" s="90" t="s">
        <v>195</v>
      </c>
      <c r="B193" s="83"/>
      <c r="C193" s="84">
        <v>7</v>
      </c>
      <c r="D193" s="84">
        <v>8</v>
      </c>
      <c r="E193" s="84">
        <f>SUM(C193:D193)</f>
        <v>15</v>
      </c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5"/>
      <c r="S193" s="86"/>
      <c r="T193" s="86"/>
      <c r="U193" s="86"/>
      <c r="V193" s="86"/>
      <c r="W193" s="86"/>
    </row>
    <row r="194" spans="1:23" ht="21">
      <c r="A194" s="90" t="s">
        <v>214</v>
      </c>
      <c r="B194" s="83"/>
      <c r="C194" s="84">
        <v>17</v>
      </c>
      <c r="D194" s="84">
        <v>13</v>
      </c>
      <c r="E194" s="84">
        <f>SUM(C194:D194)</f>
        <v>30</v>
      </c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5"/>
      <c r="S194" s="86"/>
      <c r="T194" s="86"/>
      <c r="U194" s="86"/>
      <c r="V194" s="86"/>
      <c r="W194" s="86"/>
    </row>
    <row r="195" spans="1:23" ht="21">
      <c r="A195" s="91" t="s">
        <v>146</v>
      </c>
      <c r="B195" s="83">
        <v>60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5">
        <v>0.55</v>
      </c>
      <c r="S195" s="86"/>
      <c r="T195" s="86"/>
      <c r="U195" s="86"/>
      <c r="V195" s="86"/>
      <c r="W195" s="86"/>
    </row>
    <row r="196" spans="1:23" ht="21">
      <c r="A196" s="90" t="s">
        <v>195</v>
      </c>
      <c r="B196" s="83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>
        <f>F196+H196+J196+L196</f>
        <v>0</v>
      </c>
      <c r="O196" s="84">
        <f>G196+I196+K196+M196</f>
        <v>0</v>
      </c>
      <c r="P196" s="84"/>
      <c r="Q196" s="84"/>
      <c r="R196" s="85"/>
      <c r="S196" s="86"/>
      <c r="T196" s="86"/>
      <c r="U196" s="86"/>
      <c r="V196" s="86"/>
      <c r="W196" s="86"/>
    </row>
    <row r="197" spans="1:23" ht="42">
      <c r="A197" s="25" t="s">
        <v>193</v>
      </c>
      <c r="B197" s="83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>
        <f>F197+H197+J197+L197</f>
        <v>0</v>
      </c>
      <c r="O197" s="84">
        <f>G197+I197+K197+M197</f>
        <v>0</v>
      </c>
      <c r="P197" s="84"/>
      <c r="Q197" s="84"/>
      <c r="R197" s="85"/>
      <c r="S197" s="86"/>
      <c r="T197" s="86"/>
      <c r="U197" s="86"/>
      <c r="V197" s="86"/>
      <c r="W197" s="86"/>
    </row>
    <row r="198" spans="1:23" ht="21">
      <c r="A198" s="25" t="s">
        <v>215</v>
      </c>
      <c r="B198" s="83"/>
      <c r="C198" s="84">
        <v>17</v>
      </c>
      <c r="D198" s="84">
        <v>18</v>
      </c>
      <c r="E198" s="84">
        <f>SUM(C198:D198)</f>
        <v>35</v>
      </c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5"/>
      <c r="S198" s="86"/>
      <c r="T198" s="86"/>
      <c r="U198" s="86"/>
      <c r="V198" s="86"/>
      <c r="W198" s="86"/>
    </row>
    <row r="199" spans="1:23" ht="21">
      <c r="A199" s="91" t="s">
        <v>148</v>
      </c>
      <c r="B199" s="83">
        <v>60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5"/>
      <c r="S199" s="86"/>
      <c r="T199" s="86"/>
      <c r="U199" s="86"/>
      <c r="V199" s="86"/>
      <c r="W199" s="86"/>
    </row>
    <row r="200" spans="1:23" ht="21">
      <c r="A200" s="90" t="s">
        <v>216</v>
      </c>
      <c r="B200" s="83"/>
      <c r="C200" s="84">
        <v>8</v>
      </c>
      <c r="D200" s="84">
        <v>17</v>
      </c>
      <c r="E200" s="84">
        <f>SUM(C200:D200)</f>
        <v>25</v>
      </c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5"/>
      <c r="S200" s="86"/>
      <c r="T200" s="86"/>
      <c r="U200" s="86"/>
      <c r="V200" s="86"/>
      <c r="W200" s="86"/>
    </row>
    <row r="201" spans="1:23" ht="21">
      <c r="A201" s="90" t="s">
        <v>201</v>
      </c>
      <c r="B201" s="83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>
        <f>F201+H201+J201+L201</f>
        <v>0</v>
      </c>
      <c r="O201" s="84">
        <f>G201+I201+K201+M201</f>
        <v>0</v>
      </c>
      <c r="P201" s="84"/>
      <c r="Q201" s="84"/>
      <c r="R201" s="85"/>
      <c r="S201" s="86"/>
      <c r="T201" s="86"/>
      <c r="U201" s="86"/>
      <c r="V201" s="86"/>
      <c r="W201" s="86"/>
    </row>
    <row r="202" spans="1:23" ht="21">
      <c r="A202" s="90" t="s">
        <v>217</v>
      </c>
      <c r="B202" s="83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>
        <f>F202+H202+J202+L202</f>
        <v>0</v>
      </c>
      <c r="O202" s="84">
        <f>G202+I202+K202+M202</f>
        <v>0</v>
      </c>
      <c r="P202" s="84"/>
      <c r="Q202" s="84"/>
      <c r="R202" s="85"/>
      <c r="S202" s="86"/>
      <c r="T202" s="86"/>
      <c r="U202" s="86"/>
      <c r="V202" s="86"/>
      <c r="W202" s="86"/>
    </row>
    <row r="203" spans="1:23" ht="21">
      <c r="A203" s="90" t="s">
        <v>218</v>
      </c>
      <c r="B203" s="83"/>
      <c r="C203" s="84">
        <v>6</v>
      </c>
      <c r="D203" s="84">
        <v>27</v>
      </c>
      <c r="E203" s="84">
        <f>SUM(C203:D203)</f>
        <v>33</v>
      </c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5"/>
      <c r="S203" s="86"/>
      <c r="T203" s="86"/>
      <c r="U203" s="86"/>
      <c r="V203" s="86"/>
      <c r="W203" s="86"/>
    </row>
    <row r="204" spans="1:23" ht="21">
      <c r="A204" s="90"/>
      <c r="B204" s="83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5"/>
      <c r="S204" s="86"/>
      <c r="T204" s="86"/>
      <c r="U204" s="86"/>
      <c r="V204" s="86"/>
      <c r="W204" s="86"/>
    </row>
    <row r="205" spans="1:23" ht="21">
      <c r="A205" s="82" t="s">
        <v>45</v>
      </c>
      <c r="B205" s="83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5"/>
      <c r="S205" s="86"/>
      <c r="T205" s="86"/>
      <c r="U205" s="86"/>
      <c r="V205" s="86"/>
      <c r="W205" s="86"/>
    </row>
    <row r="206" spans="1:23" ht="21">
      <c r="A206" s="88" t="s">
        <v>100</v>
      </c>
      <c r="B206" s="83">
        <v>100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5"/>
      <c r="S206" s="86"/>
      <c r="T206" s="86"/>
      <c r="U206" s="86"/>
      <c r="V206" s="86"/>
      <c r="W206" s="86"/>
    </row>
    <row r="207" spans="1:23" ht="21">
      <c r="A207" s="25" t="s">
        <v>219</v>
      </c>
      <c r="B207" s="83"/>
      <c r="C207" s="84">
        <v>6</v>
      </c>
      <c r="D207" s="84">
        <v>27</v>
      </c>
      <c r="E207" s="84">
        <f>SUM(C207:D207)</f>
        <v>33</v>
      </c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5"/>
      <c r="S207" s="86"/>
      <c r="T207" s="86"/>
      <c r="U207" s="86"/>
      <c r="V207" s="86"/>
      <c r="W207" s="86"/>
    </row>
    <row r="208" spans="1:23" ht="21">
      <c r="A208" s="25" t="s">
        <v>220</v>
      </c>
      <c r="B208" s="83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5"/>
      <c r="S208" s="86"/>
      <c r="T208" s="86"/>
      <c r="U208" s="86"/>
      <c r="V208" s="86"/>
      <c r="W208" s="86"/>
    </row>
    <row r="209" spans="1:23" ht="21">
      <c r="A209" s="25" t="s">
        <v>221</v>
      </c>
      <c r="B209" s="83"/>
      <c r="C209" s="84">
        <v>12</v>
      </c>
      <c r="D209" s="84">
        <v>28</v>
      </c>
      <c r="E209" s="84">
        <f>SUM(C209:D209)</f>
        <v>40</v>
      </c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5"/>
      <c r="S209" s="86"/>
      <c r="T209" s="86"/>
      <c r="U209" s="86"/>
      <c r="V209" s="86"/>
      <c r="W209" s="86"/>
    </row>
    <row r="210" spans="1:23" ht="42">
      <c r="A210" s="25" t="s">
        <v>222</v>
      </c>
      <c r="B210" s="83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>
        <f>F210+H210+J210+L210</f>
        <v>0</v>
      </c>
      <c r="O210" s="84">
        <f>G210+I210+K210+M210</f>
        <v>0</v>
      </c>
      <c r="P210" s="84"/>
      <c r="Q210" s="84"/>
      <c r="R210" s="85"/>
      <c r="S210" s="86"/>
      <c r="T210" s="86"/>
      <c r="U210" s="86"/>
      <c r="V210" s="86"/>
      <c r="W210" s="86"/>
    </row>
    <row r="211" spans="1:23" ht="21">
      <c r="A211" s="21" t="s">
        <v>104</v>
      </c>
      <c r="B211" s="83">
        <v>100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5"/>
      <c r="S211" s="86"/>
      <c r="T211" s="86"/>
      <c r="U211" s="86"/>
      <c r="V211" s="86"/>
      <c r="W211" s="86"/>
    </row>
    <row r="212" spans="1:23" ht="21">
      <c r="A212" s="25" t="s">
        <v>223</v>
      </c>
      <c r="B212" s="83"/>
      <c r="C212" s="84">
        <v>15</v>
      </c>
      <c r="D212" s="84">
        <v>20</v>
      </c>
      <c r="E212" s="84">
        <f>SUM(C212:D212)</f>
        <v>35</v>
      </c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5"/>
      <c r="S212" s="86"/>
      <c r="T212" s="86"/>
      <c r="U212" s="86"/>
      <c r="V212" s="86"/>
      <c r="W212" s="86"/>
    </row>
    <row r="213" spans="1:23" ht="21">
      <c r="A213" s="25" t="s">
        <v>220</v>
      </c>
      <c r="B213" s="83"/>
      <c r="C213" s="84">
        <v>15</v>
      </c>
      <c r="D213" s="84">
        <v>15</v>
      </c>
      <c r="E213" s="84">
        <f>SUM(C213:D213)</f>
        <v>30</v>
      </c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5"/>
      <c r="S213" s="86"/>
      <c r="T213" s="86"/>
      <c r="U213" s="86"/>
      <c r="V213" s="86"/>
      <c r="W213" s="86"/>
    </row>
    <row r="214" spans="1:23" ht="21">
      <c r="A214" s="25" t="s">
        <v>224</v>
      </c>
      <c r="B214" s="83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>
        <f>F214+H214+J214+L214</f>
        <v>0</v>
      </c>
      <c r="O214" s="84">
        <f>G214+I214+K214+M214</f>
        <v>0</v>
      </c>
      <c r="P214" s="84"/>
      <c r="Q214" s="84"/>
      <c r="R214" s="85"/>
      <c r="S214" s="86"/>
      <c r="T214" s="86"/>
      <c r="U214" s="86"/>
      <c r="V214" s="86"/>
      <c r="W214" s="86"/>
    </row>
    <row r="215" spans="1:23" ht="21">
      <c r="A215" s="25" t="s">
        <v>225</v>
      </c>
      <c r="B215" s="83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>
        <f>F215+H215+J215+L215</f>
        <v>0</v>
      </c>
      <c r="O215" s="84">
        <f>G215+I215+K215+M215</f>
        <v>0</v>
      </c>
      <c r="P215" s="84"/>
      <c r="Q215" s="84"/>
      <c r="R215" s="85"/>
      <c r="S215" s="86"/>
      <c r="T215" s="86"/>
      <c r="U215" s="86"/>
      <c r="V215" s="86"/>
      <c r="W215" s="86"/>
    </row>
    <row r="216" spans="1:23" ht="21">
      <c r="A216" s="21" t="s">
        <v>108</v>
      </c>
      <c r="B216" s="83">
        <v>100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5"/>
      <c r="S216" s="86"/>
      <c r="T216" s="86"/>
      <c r="U216" s="86"/>
      <c r="V216" s="86"/>
      <c r="W216" s="86"/>
    </row>
    <row r="217" spans="1:23" ht="21">
      <c r="A217" s="25" t="s">
        <v>226</v>
      </c>
      <c r="B217" s="83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>
        <f>F217+H217+J217+L217</f>
        <v>0</v>
      </c>
      <c r="O217" s="84">
        <f>G217+I217+K217+M217</f>
        <v>0</v>
      </c>
      <c r="P217" s="84"/>
      <c r="Q217" s="84"/>
      <c r="R217" s="85"/>
      <c r="S217" s="86"/>
      <c r="T217" s="86"/>
      <c r="U217" s="86"/>
      <c r="V217" s="86"/>
      <c r="W217" s="86"/>
    </row>
    <row r="218" spans="1:23" ht="21">
      <c r="A218" s="25" t="s">
        <v>227</v>
      </c>
      <c r="B218" s="83"/>
      <c r="C218" s="84">
        <v>14</v>
      </c>
      <c r="D218" s="84">
        <v>20</v>
      </c>
      <c r="E218" s="84">
        <f>SUM(C218:D218)</f>
        <v>34</v>
      </c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5"/>
      <c r="S218" s="86"/>
      <c r="T218" s="86"/>
      <c r="U218" s="86"/>
      <c r="V218" s="86"/>
      <c r="W218" s="86"/>
    </row>
    <row r="219" spans="1:23" ht="21">
      <c r="A219" s="25" t="s">
        <v>224</v>
      </c>
      <c r="B219" s="83"/>
      <c r="C219" s="84">
        <v>14</v>
      </c>
      <c r="D219" s="84">
        <v>19</v>
      </c>
      <c r="E219" s="84">
        <f>SUM(C219:D219)</f>
        <v>33</v>
      </c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5"/>
      <c r="S219" s="86"/>
      <c r="T219" s="86"/>
      <c r="U219" s="86"/>
      <c r="V219" s="86"/>
      <c r="W219" s="86"/>
    </row>
    <row r="220" spans="1:23" ht="21">
      <c r="A220" s="25" t="s">
        <v>225</v>
      </c>
      <c r="B220" s="83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>
        <f>F220+H220+J220+L220</f>
        <v>0</v>
      </c>
      <c r="O220" s="84">
        <f>G220+I220+K220+M220</f>
        <v>0</v>
      </c>
      <c r="P220" s="84"/>
      <c r="Q220" s="84"/>
      <c r="R220" s="85"/>
      <c r="S220" s="86"/>
      <c r="T220" s="86"/>
      <c r="U220" s="86"/>
      <c r="V220" s="86"/>
      <c r="W220" s="86"/>
    </row>
    <row r="221" spans="1:23" ht="21">
      <c r="A221" s="21" t="s">
        <v>113</v>
      </c>
      <c r="B221" s="83">
        <v>100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5"/>
      <c r="S221" s="86"/>
      <c r="T221" s="86"/>
      <c r="U221" s="86"/>
      <c r="V221" s="86"/>
      <c r="W221" s="86"/>
    </row>
    <row r="222" spans="1:23" ht="21">
      <c r="A222" s="25" t="s">
        <v>228</v>
      </c>
      <c r="B222" s="83"/>
      <c r="C222" s="84">
        <v>10</v>
      </c>
      <c r="D222" s="84">
        <v>20</v>
      </c>
      <c r="E222" s="84">
        <f>SUM(C222:D222)</f>
        <v>30</v>
      </c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5"/>
      <c r="S222" s="86"/>
      <c r="T222" s="86"/>
      <c r="U222" s="86"/>
      <c r="V222" s="86"/>
      <c r="W222" s="86"/>
    </row>
    <row r="223" spans="1:23" ht="21">
      <c r="A223" s="25" t="s">
        <v>229</v>
      </c>
      <c r="B223" s="83"/>
      <c r="C223" s="84">
        <v>9</v>
      </c>
      <c r="D223" s="84">
        <v>21</v>
      </c>
      <c r="E223" s="84">
        <f>SUM(C223:D223)</f>
        <v>30</v>
      </c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5"/>
      <c r="S223" s="86"/>
      <c r="T223" s="86"/>
      <c r="U223" s="86"/>
      <c r="V223" s="86"/>
      <c r="W223" s="86"/>
    </row>
    <row r="224" spans="1:23" ht="21">
      <c r="A224" s="25" t="s">
        <v>230</v>
      </c>
      <c r="B224" s="83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>
        <f>F224+H224+J224+L224</f>
        <v>0</v>
      </c>
      <c r="O224" s="84">
        <f>G224+I224+K224+M224</f>
        <v>0</v>
      </c>
      <c r="P224" s="84"/>
      <c r="Q224" s="84"/>
      <c r="R224" s="85"/>
      <c r="S224" s="86"/>
      <c r="T224" s="86"/>
      <c r="U224" s="86"/>
      <c r="V224" s="86"/>
      <c r="W224" s="86"/>
    </row>
    <row r="225" spans="1:23" ht="21">
      <c r="A225" s="21" t="s">
        <v>117</v>
      </c>
      <c r="B225" s="83">
        <v>100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5"/>
      <c r="S225" s="86"/>
      <c r="T225" s="86"/>
      <c r="U225" s="86"/>
      <c r="V225" s="86"/>
      <c r="W225" s="86"/>
    </row>
    <row r="226" spans="1:23" ht="21">
      <c r="A226" s="25" t="s">
        <v>231</v>
      </c>
      <c r="B226" s="83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>
        <f aca="true" t="shared" si="5" ref="N226:O228">F226+H226+J226+L226</f>
        <v>0</v>
      </c>
      <c r="O226" s="84">
        <f t="shared" si="5"/>
        <v>0</v>
      </c>
      <c r="P226" s="84"/>
      <c r="Q226" s="84"/>
      <c r="R226" s="85"/>
      <c r="S226" s="86"/>
      <c r="T226" s="86"/>
      <c r="U226" s="86"/>
      <c r="V226" s="86"/>
      <c r="W226" s="86"/>
    </row>
    <row r="227" spans="1:23" ht="21">
      <c r="A227" s="21" t="s">
        <v>232</v>
      </c>
      <c r="B227" s="83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>
        <f t="shared" si="5"/>
        <v>0</v>
      </c>
      <c r="O227" s="84">
        <f t="shared" si="5"/>
        <v>0</v>
      </c>
      <c r="P227" s="84"/>
      <c r="Q227" s="84"/>
      <c r="R227" s="85"/>
      <c r="S227" s="86"/>
      <c r="T227" s="86"/>
      <c r="U227" s="86"/>
      <c r="V227" s="86"/>
      <c r="W227" s="86"/>
    </row>
    <row r="228" spans="1:23" ht="21">
      <c r="A228" s="25" t="s">
        <v>230</v>
      </c>
      <c r="B228" s="83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>
        <f t="shared" si="5"/>
        <v>0</v>
      </c>
      <c r="O228" s="84">
        <f t="shared" si="5"/>
        <v>0</v>
      </c>
      <c r="P228" s="84"/>
      <c r="Q228" s="84"/>
      <c r="R228" s="85"/>
      <c r="S228" s="86"/>
      <c r="T228" s="86"/>
      <c r="U228" s="86"/>
      <c r="V228" s="86"/>
      <c r="W228" s="86"/>
    </row>
    <row r="229" spans="1:23" ht="21">
      <c r="A229" s="21" t="s">
        <v>122</v>
      </c>
      <c r="B229" s="83">
        <v>100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5"/>
      <c r="S229" s="86"/>
      <c r="T229" s="86"/>
      <c r="U229" s="86"/>
      <c r="V229" s="86"/>
      <c r="W229" s="86"/>
    </row>
    <row r="230" spans="1:23" ht="21">
      <c r="A230" s="21" t="s">
        <v>233</v>
      </c>
      <c r="B230" s="83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>
        <f>F230+H230+J230+L230</f>
        <v>0</v>
      </c>
      <c r="O230" s="84">
        <f>G230+I230+K230+M230</f>
        <v>0</v>
      </c>
      <c r="P230" s="84"/>
      <c r="Q230" s="84"/>
      <c r="R230" s="85"/>
      <c r="S230" s="86"/>
      <c r="T230" s="86"/>
      <c r="U230" s="86"/>
      <c r="V230" s="86"/>
      <c r="W230" s="86"/>
    </row>
    <row r="231" spans="1:23" ht="21">
      <c r="A231" s="21" t="s">
        <v>234</v>
      </c>
      <c r="B231" s="83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>
        <f>F231+H231+J231+L231</f>
        <v>0</v>
      </c>
      <c r="O231" s="84">
        <f>G231+I231+K231+M231</f>
        <v>0</v>
      </c>
      <c r="P231" s="84"/>
      <c r="Q231" s="84"/>
      <c r="R231" s="85"/>
      <c r="S231" s="86"/>
      <c r="T231" s="86"/>
      <c r="U231" s="86"/>
      <c r="V231" s="86"/>
      <c r="W231" s="86"/>
    </row>
    <row r="232" spans="1:23" ht="21">
      <c r="A232" s="25" t="s">
        <v>235</v>
      </c>
      <c r="B232" s="83"/>
      <c r="C232" s="84">
        <v>12</v>
      </c>
      <c r="D232" s="84">
        <v>18</v>
      </c>
      <c r="E232" s="84">
        <f>SUM(C232:D232)</f>
        <v>30</v>
      </c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5"/>
      <c r="S232" s="86"/>
      <c r="T232" s="86"/>
      <c r="U232" s="86"/>
      <c r="V232" s="86"/>
      <c r="W232" s="86"/>
    </row>
    <row r="233" spans="1:23" ht="21">
      <c r="A233" s="21" t="s">
        <v>126</v>
      </c>
      <c r="B233" s="83">
        <v>100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5"/>
      <c r="S233" s="86"/>
      <c r="T233" s="86"/>
      <c r="U233" s="86"/>
      <c r="V233" s="86"/>
      <c r="W233" s="86"/>
    </row>
    <row r="234" spans="1:23" ht="21">
      <c r="A234" s="25" t="s">
        <v>231</v>
      </c>
      <c r="B234" s="83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>
        <f>F234+H234+J234+L234</f>
        <v>0</v>
      </c>
      <c r="O234" s="84">
        <f>G234+I234+K234+M234</f>
        <v>0</v>
      </c>
      <c r="P234" s="84"/>
      <c r="Q234" s="84"/>
      <c r="R234" s="85"/>
      <c r="S234" s="86"/>
      <c r="T234" s="86"/>
      <c r="U234" s="86"/>
      <c r="V234" s="86"/>
      <c r="W234" s="86"/>
    </row>
    <row r="235" spans="1:23" ht="21">
      <c r="A235" s="25" t="s">
        <v>236</v>
      </c>
      <c r="B235" s="83"/>
      <c r="C235" s="84">
        <v>9</v>
      </c>
      <c r="D235" s="84">
        <v>16</v>
      </c>
      <c r="E235" s="84">
        <f>SUM(C235:D235)</f>
        <v>25</v>
      </c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5"/>
      <c r="S235" s="86"/>
      <c r="T235" s="86"/>
      <c r="U235" s="86"/>
      <c r="V235" s="86"/>
      <c r="W235" s="86"/>
    </row>
    <row r="236" spans="1:23" ht="21">
      <c r="A236" s="25" t="s">
        <v>107</v>
      </c>
      <c r="B236" s="83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>
        <f>F236+H236+J236+L236</f>
        <v>0</v>
      </c>
      <c r="O236" s="84">
        <f>G236+I236+K236+M236</f>
        <v>0</v>
      </c>
      <c r="P236" s="84"/>
      <c r="Q236" s="84"/>
      <c r="R236" s="85"/>
      <c r="S236" s="86"/>
      <c r="T236" s="86"/>
      <c r="U236" s="86"/>
      <c r="V236" s="86"/>
      <c r="W236" s="86"/>
    </row>
    <row r="237" spans="1:23" ht="21">
      <c r="A237" s="25" t="s">
        <v>225</v>
      </c>
      <c r="B237" s="83"/>
      <c r="C237" s="84">
        <v>15</v>
      </c>
      <c r="D237" s="84">
        <v>10</v>
      </c>
      <c r="E237" s="84">
        <f>SUM(C237:D237)</f>
        <v>25</v>
      </c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5"/>
      <c r="S237" s="86"/>
      <c r="T237" s="86"/>
      <c r="U237" s="86"/>
      <c r="V237" s="86"/>
      <c r="W237" s="86"/>
    </row>
    <row r="238" spans="1:23" ht="21">
      <c r="A238" s="21" t="s">
        <v>129</v>
      </c>
      <c r="B238" s="83">
        <v>100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5"/>
      <c r="S238" s="86"/>
      <c r="T238" s="86"/>
      <c r="U238" s="86"/>
      <c r="V238" s="86"/>
      <c r="W238" s="86"/>
    </row>
    <row r="239" spans="1:23" ht="21">
      <c r="A239" s="25" t="s">
        <v>237</v>
      </c>
      <c r="B239" s="83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>
        <f>F239+H239+J239+L239</f>
        <v>0</v>
      </c>
      <c r="O239" s="84">
        <f>G239+I239+K239+M239</f>
        <v>0</v>
      </c>
      <c r="P239" s="84"/>
      <c r="Q239" s="84"/>
      <c r="R239" s="85"/>
      <c r="S239" s="86"/>
      <c r="T239" s="86"/>
      <c r="U239" s="86"/>
      <c r="V239" s="86"/>
      <c r="W239" s="86"/>
    </row>
    <row r="240" spans="1:23" ht="21">
      <c r="A240" s="25" t="s">
        <v>238</v>
      </c>
      <c r="B240" s="83"/>
      <c r="C240" s="84">
        <v>9</v>
      </c>
      <c r="D240" s="84">
        <v>26</v>
      </c>
      <c r="E240" s="84">
        <f>SUM(C240:D240)</f>
        <v>35</v>
      </c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5"/>
      <c r="S240" s="86"/>
      <c r="T240" s="86"/>
      <c r="U240" s="86"/>
      <c r="V240" s="86"/>
      <c r="W240" s="86"/>
    </row>
    <row r="241" spans="1:23" ht="21">
      <c r="A241" s="25" t="s">
        <v>239</v>
      </c>
      <c r="B241" s="83"/>
      <c r="C241" s="84">
        <v>16</v>
      </c>
      <c r="D241" s="84">
        <v>14</v>
      </c>
      <c r="E241" s="84">
        <f>SUM(C241:D241)</f>
        <v>30</v>
      </c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5"/>
      <c r="S241" s="86"/>
      <c r="T241" s="86"/>
      <c r="U241" s="86"/>
      <c r="V241" s="86"/>
      <c r="W241" s="86"/>
    </row>
    <row r="242" spans="1:23" ht="21">
      <c r="A242" s="21" t="s">
        <v>132</v>
      </c>
      <c r="B242" s="83">
        <v>100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5"/>
      <c r="S242" s="86"/>
      <c r="T242" s="86"/>
      <c r="U242" s="86"/>
      <c r="V242" s="86"/>
      <c r="W242" s="86"/>
    </row>
    <row r="243" spans="1:23" ht="21">
      <c r="A243" s="25" t="s">
        <v>237</v>
      </c>
      <c r="B243" s="83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>
        <f>F243+H243+J243+L243</f>
        <v>0</v>
      </c>
      <c r="O243" s="84">
        <f>G243+I243+K243+M243</f>
        <v>0</v>
      </c>
      <c r="P243" s="84"/>
      <c r="Q243" s="84"/>
      <c r="R243" s="85"/>
      <c r="S243" s="86"/>
      <c r="T243" s="86"/>
      <c r="U243" s="86"/>
      <c r="V243" s="86"/>
      <c r="W243" s="86"/>
    </row>
    <row r="244" spans="1:23" ht="21">
      <c r="A244" s="25" t="s">
        <v>240</v>
      </c>
      <c r="B244" s="83"/>
      <c r="C244" s="84">
        <v>22</v>
      </c>
      <c r="D244" s="84">
        <v>13</v>
      </c>
      <c r="E244" s="84">
        <f>SUM(C244:D244)</f>
        <v>35</v>
      </c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5"/>
      <c r="S244" s="86"/>
      <c r="T244" s="86"/>
      <c r="U244" s="86"/>
      <c r="V244" s="86"/>
      <c r="W244" s="86"/>
    </row>
    <row r="245" spans="1:23" ht="21">
      <c r="A245" s="25" t="s">
        <v>235</v>
      </c>
      <c r="B245" s="83"/>
      <c r="C245" s="84">
        <v>25</v>
      </c>
      <c r="D245" s="84">
        <v>10</v>
      </c>
      <c r="E245" s="84">
        <f>SUM(C245:D245)</f>
        <v>35</v>
      </c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5"/>
      <c r="S245" s="86"/>
      <c r="T245" s="86"/>
      <c r="U245" s="86"/>
      <c r="V245" s="86"/>
      <c r="W245" s="86"/>
    </row>
    <row r="246" spans="1:23" ht="21">
      <c r="A246" s="21" t="s">
        <v>134</v>
      </c>
      <c r="B246" s="83">
        <v>100</v>
      </c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5"/>
      <c r="S246" s="86"/>
      <c r="T246" s="86"/>
      <c r="U246" s="86"/>
      <c r="V246" s="86"/>
      <c r="W246" s="86"/>
    </row>
    <row r="247" spans="1:23" ht="21">
      <c r="A247" s="25" t="s">
        <v>241</v>
      </c>
      <c r="B247" s="83"/>
      <c r="C247" s="84">
        <v>11</v>
      </c>
      <c r="D247" s="84">
        <v>16</v>
      </c>
      <c r="E247" s="84">
        <f>SUM(C247:D247)</f>
        <v>27</v>
      </c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5"/>
      <c r="S247" s="86"/>
      <c r="T247" s="86"/>
      <c r="U247" s="86"/>
      <c r="V247" s="86"/>
      <c r="W247" s="86"/>
    </row>
    <row r="248" spans="1:23" ht="21">
      <c r="A248" s="25" t="s">
        <v>229</v>
      </c>
      <c r="B248" s="83"/>
      <c r="C248" s="84">
        <v>11</v>
      </c>
      <c r="D248" s="84">
        <v>16</v>
      </c>
      <c r="E248" s="84">
        <f>SUM(C248:D248)</f>
        <v>27</v>
      </c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5"/>
      <c r="S248" s="86"/>
      <c r="T248" s="86"/>
      <c r="U248" s="86"/>
      <c r="V248" s="86"/>
      <c r="W248" s="86"/>
    </row>
    <row r="249" spans="1:23" ht="21">
      <c r="A249" s="21" t="s">
        <v>137</v>
      </c>
      <c r="B249" s="83">
        <v>100</v>
      </c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5"/>
      <c r="S249" s="86"/>
      <c r="T249" s="86"/>
      <c r="U249" s="86"/>
      <c r="V249" s="86"/>
      <c r="W249" s="86"/>
    </row>
    <row r="250" spans="1:23" ht="21">
      <c r="A250" s="25" t="s">
        <v>242</v>
      </c>
      <c r="B250" s="83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>
        <f>F250+H250+J250+L250</f>
        <v>0</v>
      </c>
      <c r="O250" s="84">
        <f>G250+I250+K250+M250</f>
        <v>0</v>
      </c>
      <c r="P250" s="84"/>
      <c r="Q250" s="84"/>
      <c r="R250" s="85"/>
      <c r="S250" s="86"/>
      <c r="T250" s="86"/>
      <c r="U250" s="86"/>
      <c r="V250" s="86"/>
      <c r="W250" s="86"/>
    </row>
    <row r="251" spans="1:23" ht="21">
      <c r="A251" s="25" t="s">
        <v>243</v>
      </c>
      <c r="B251" s="83"/>
      <c r="C251" s="84">
        <v>6</v>
      </c>
      <c r="D251" s="84">
        <v>29</v>
      </c>
      <c r="E251" s="84">
        <f>SUM(C251:D251)</f>
        <v>35</v>
      </c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5"/>
      <c r="S251" s="86"/>
      <c r="T251" s="86"/>
      <c r="U251" s="86"/>
      <c r="V251" s="86"/>
      <c r="W251" s="86"/>
    </row>
    <row r="252" spans="1:23" ht="21">
      <c r="A252" s="25" t="s">
        <v>244</v>
      </c>
      <c r="B252" s="83"/>
      <c r="C252" s="84">
        <v>14</v>
      </c>
      <c r="D252" s="84">
        <v>21</v>
      </c>
      <c r="E252" s="84">
        <f>SUM(C252:D252)</f>
        <v>35</v>
      </c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5"/>
      <c r="S252" s="86"/>
      <c r="T252" s="86"/>
      <c r="U252" s="86"/>
      <c r="V252" s="86"/>
      <c r="W252" s="86"/>
    </row>
    <row r="253" spans="1:23" ht="21">
      <c r="A253" s="21" t="s">
        <v>139</v>
      </c>
      <c r="B253" s="83">
        <v>100</v>
      </c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5">
        <v>0.3</v>
      </c>
      <c r="S253" s="86"/>
      <c r="T253" s="86"/>
      <c r="U253" s="86"/>
      <c r="V253" s="86"/>
      <c r="W253" s="86"/>
    </row>
    <row r="254" spans="1:23" ht="21">
      <c r="A254" s="25" t="s">
        <v>237</v>
      </c>
      <c r="B254" s="83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>
        <f>F254+H254+J254+L254</f>
        <v>0</v>
      </c>
      <c r="O254" s="84">
        <f>G254+I254+K254+M254</f>
        <v>0</v>
      </c>
      <c r="P254" s="84"/>
      <c r="Q254" s="84"/>
      <c r="R254" s="85"/>
      <c r="S254" s="86"/>
      <c r="T254" s="86"/>
      <c r="U254" s="86"/>
      <c r="V254" s="86"/>
      <c r="W254" s="86"/>
    </row>
    <row r="255" spans="1:23" ht="21">
      <c r="A255" s="90" t="s">
        <v>240</v>
      </c>
      <c r="B255" s="83"/>
      <c r="C255" s="84">
        <v>10</v>
      </c>
      <c r="D255" s="84">
        <v>20</v>
      </c>
      <c r="E255" s="84">
        <f>SUM(C255:D255)</f>
        <v>30</v>
      </c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5"/>
      <c r="S255" s="86"/>
      <c r="T255" s="86"/>
      <c r="U255" s="86"/>
      <c r="V255" s="86"/>
      <c r="W255" s="86"/>
    </row>
    <row r="256" spans="1:23" ht="21">
      <c r="A256" s="90" t="s">
        <v>235</v>
      </c>
      <c r="B256" s="83"/>
      <c r="C256" s="84">
        <v>7</v>
      </c>
      <c r="D256" s="84">
        <v>28</v>
      </c>
      <c r="E256" s="84">
        <f>SUM(C256:D256)</f>
        <v>35</v>
      </c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5"/>
      <c r="S256" s="86"/>
      <c r="T256" s="86"/>
      <c r="U256" s="86"/>
      <c r="V256" s="86"/>
      <c r="W256" s="86"/>
    </row>
    <row r="257" spans="1:23" ht="21">
      <c r="A257" s="91" t="s">
        <v>141</v>
      </c>
      <c r="B257" s="83">
        <v>100</v>
      </c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5"/>
      <c r="S257" s="86"/>
      <c r="T257" s="86"/>
      <c r="U257" s="86"/>
      <c r="V257" s="86"/>
      <c r="W257" s="86"/>
    </row>
    <row r="258" spans="1:23" ht="21">
      <c r="A258" s="90" t="s">
        <v>245</v>
      </c>
      <c r="B258" s="83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>
        <f>F258+H258+J258+L258</f>
        <v>0</v>
      </c>
      <c r="O258" s="84">
        <f>G258+I258+K258+M258</f>
        <v>0</v>
      </c>
      <c r="P258" s="84"/>
      <c r="Q258" s="84"/>
      <c r="R258" s="85"/>
      <c r="S258" s="86"/>
      <c r="T258" s="86"/>
      <c r="U258" s="86"/>
      <c r="V258" s="86"/>
      <c r="W258" s="86"/>
    </row>
    <row r="259" spans="1:23" ht="21">
      <c r="A259" s="90" t="s">
        <v>240</v>
      </c>
      <c r="B259" s="83"/>
      <c r="C259" s="84">
        <v>10</v>
      </c>
      <c r="D259" s="84">
        <v>20</v>
      </c>
      <c r="E259" s="84">
        <f>SUM(C259:D259)</f>
        <v>30</v>
      </c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5"/>
      <c r="S259" s="86"/>
      <c r="T259" s="86"/>
      <c r="U259" s="86"/>
      <c r="V259" s="86"/>
      <c r="W259" s="86"/>
    </row>
    <row r="260" spans="1:23" ht="21">
      <c r="A260" s="90" t="s">
        <v>235</v>
      </c>
      <c r="B260" s="83"/>
      <c r="C260" s="84">
        <v>6</v>
      </c>
      <c r="D260" s="84">
        <v>24</v>
      </c>
      <c r="E260" s="84">
        <f>SUM(C260:D260)</f>
        <v>30</v>
      </c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5"/>
      <c r="S260" s="86"/>
      <c r="T260" s="86"/>
      <c r="U260" s="86"/>
      <c r="V260" s="86"/>
      <c r="W260" s="86"/>
    </row>
    <row r="261" spans="1:23" ht="21">
      <c r="A261" s="91" t="s">
        <v>144</v>
      </c>
      <c r="B261" s="83">
        <v>100</v>
      </c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5"/>
      <c r="S261" s="86"/>
      <c r="T261" s="86"/>
      <c r="U261" s="86"/>
      <c r="V261" s="86"/>
      <c r="W261" s="86"/>
    </row>
    <row r="262" spans="1:23" ht="21">
      <c r="A262" s="90" t="s">
        <v>237</v>
      </c>
      <c r="B262" s="83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>
        <f>F262+H262+J262+L262</f>
        <v>0</v>
      </c>
      <c r="O262" s="84">
        <f>G262+I262+K262+M262</f>
        <v>0</v>
      </c>
      <c r="P262" s="84"/>
      <c r="Q262" s="84"/>
      <c r="R262" s="85"/>
      <c r="S262" s="86"/>
      <c r="T262" s="86"/>
      <c r="U262" s="86"/>
      <c r="V262" s="86"/>
      <c r="W262" s="86"/>
    </row>
    <row r="263" spans="1:23" ht="21">
      <c r="A263" s="90" t="s">
        <v>138</v>
      </c>
      <c r="B263" s="83"/>
      <c r="C263" s="84">
        <v>15</v>
      </c>
      <c r="D263" s="84">
        <v>20</v>
      </c>
      <c r="E263" s="84">
        <f>SUM(C263:D263)</f>
        <v>35</v>
      </c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5"/>
      <c r="S263" s="86"/>
      <c r="T263" s="86"/>
      <c r="U263" s="86"/>
      <c r="V263" s="86"/>
      <c r="W263" s="86"/>
    </row>
    <row r="264" spans="1:23" ht="21">
      <c r="A264" s="90" t="s">
        <v>244</v>
      </c>
      <c r="B264" s="83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>
        <f>F264+H264+J264+L264</f>
        <v>0</v>
      </c>
      <c r="O264" s="84">
        <f>G264+I264+K264+M264</f>
        <v>0</v>
      </c>
      <c r="P264" s="84"/>
      <c r="Q264" s="84"/>
      <c r="R264" s="85"/>
      <c r="S264" s="86"/>
      <c r="T264" s="86"/>
      <c r="U264" s="86"/>
      <c r="V264" s="86"/>
      <c r="W264" s="86"/>
    </row>
    <row r="265" spans="1:23" ht="21">
      <c r="A265" s="91" t="s">
        <v>146</v>
      </c>
      <c r="B265" s="83">
        <v>100</v>
      </c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5"/>
      <c r="S265" s="86"/>
      <c r="T265" s="86"/>
      <c r="U265" s="86"/>
      <c r="V265" s="86"/>
      <c r="W265" s="86"/>
    </row>
    <row r="266" spans="1:23" ht="21">
      <c r="A266" s="90" t="s">
        <v>231</v>
      </c>
      <c r="B266" s="83"/>
      <c r="C266" s="84">
        <v>17</v>
      </c>
      <c r="D266" s="84">
        <v>18</v>
      </c>
      <c r="E266" s="84">
        <f>SUM(C266:D266)</f>
        <v>35</v>
      </c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5"/>
      <c r="S266" s="86"/>
      <c r="T266" s="86"/>
      <c r="U266" s="86"/>
      <c r="V266" s="86"/>
      <c r="W266" s="86"/>
    </row>
    <row r="267" spans="1:23" ht="21">
      <c r="A267" s="90" t="s">
        <v>240</v>
      </c>
      <c r="B267" s="83"/>
      <c r="C267" s="84">
        <v>17</v>
      </c>
      <c r="D267" s="84">
        <v>13</v>
      </c>
      <c r="E267" s="84">
        <f>SUM(C267:D267)</f>
        <v>30</v>
      </c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5"/>
      <c r="S267" s="86"/>
      <c r="T267" s="86"/>
      <c r="U267" s="86"/>
      <c r="V267" s="86"/>
      <c r="W267" s="86"/>
    </row>
    <row r="268" spans="1:23" ht="21">
      <c r="A268" s="90" t="s">
        <v>230</v>
      </c>
      <c r="B268" s="83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>
        <f>F268+H268+J268+L268</f>
        <v>0</v>
      </c>
      <c r="O268" s="84">
        <f>G268+I268+K268+M268</f>
        <v>0</v>
      </c>
      <c r="P268" s="84"/>
      <c r="Q268" s="84"/>
      <c r="R268" s="85"/>
      <c r="S268" s="86"/>
      <c r="T268" s="86"/>
      <c r="U268" s="86"/>
      <c r="V268" s="86"/>
      <c r="W268" s="86"/>
    </row>
    <row r="269" spans="1:23" ht="21">
      <c r="A269" s="91" t="s">
        <v>148</v>
      </c>
      <c r="B269" s="83">
        <v>100</v>
      </c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5">
        <v>0.65</v>
      </c>
      <c r="S269" s="86"/>
      <c r="T269" s="86"/>
      <c r="U269" s="86"/>
      <c r="V269" s="86"/>
      <c r="W269" s="86"/>
    </row>
    <row r="270" spans="1:23" ht="21">
      <c r="A270" s="90" t="s">
        <v>231</v>
      </c>
      <c r="B270" s="83"/>
      <c r="C270" s="84">
        <v>10</v>
      </c>
      <c r="D270" s="84">
        <v>25</v>
      </c>
      <c r="E270" s="84">
        <f>SUM(C270:D270)</f>
        <v>35</v>
      </c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5"/>
      <c r="S270" s="86"/>
      <c r="T270" s="86"/>
      <c r="U270" s="86"/>
      <c r="V270" s="86"/>
      <c r="W270" s="86"/>
    </row>
    <row r="271" spans="1:23" ht="21">
      <c r="A271" s="90" t="s">
        <v>240</v>
      </c>
      <c r="B271" s="83"/>
      <c r="C271" s="84">
        <v>15</v>
      </c>
      <c r="D271" s="84">
        <v>15</v>
      </c>
      <c r="E271" s="84">
        <f>SUM(C271:D271)</f>
        <v>30</v>
      </c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5"/>
      <c r="S271" s="86"/>
      <c r="T271" s="86"/>
      <c r="U271" s="86"/>
      <c r="V271" s="86"/>
      <c r="W271" s="86"/>
    </row>
    <row r="272" spans="1:23" ht="21">
      <c r="A272" s="90" t="s">
        <v>230</v>
      </c>
      <c r="B272" s="83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>
        <f>F272+H272+J272+L272</f>
        <v>0</v>
      </c>
      <c r="O272" s="84">
        <f>G272+I272+K272+M272</f>
        <v>0</v>
      </c>
      <c r="P272" s="84"/>
      <c r="Q272" s="84"/>
      <c r="R272" s="85"/>
      <c r="S272" s="86"/>
      <c r="T272" s="86"/>
      <c r="U272" s="86"/>
      <c r="V272" s="86"/>
      <c r="W272" s="86"/>
    </row>
    <row r="273" spans="1:23" ht="21">
      <c r="A273" s="90"/>
      <c r="B273" s="83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5"/>
      <c r="S273" s="86"/>
      <c r="T273" s="86"/>
      <c r="U273" s="86"/>
      <c r="V273" s="86"/>
      <c r="W273" s="86"/>
    </row>
    <row r="274" spans="1:23" ht="21">
      <c r="A274" s="82" t="s">
        <v>49</v>
      </c>
      <c r="B274" s="83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5"/>
      <c r="S274" s="86"/>
      <c r="T274" s="86"/>
      <c r="U274" s="86"/>
      <c r="V274" s="86"/>
      <c r="W274" s="86"/>
    </row>
    <row r="275" spans="1:23" ht="21">
      <c r="A275" s="82" t="s">
        <v>50</v>
      </c>
      <c r="B275" s="83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5"/>
      <c r="S275" s="86"/>
      <c r="T275" s="86"/>
      <c r="U275" s="86"/>
      <c r="V275" s="86"/>
      <c r="W275" s="86"/>
    </row>
    <row r="276" spans="1:23" ht="42">
      <c r="A276" s="100" t="s">
        <v>52</v>
      </c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3"/>
      <c r="R276" s="104"/>
      <c r="S276" s="105"/>
      <c r="T276" s="105"/>
      <c r="U276" s="105"/>
      <c r="V276" s="105"/>
      <c r="W276" s="105"/>
    </row>
    <row r="277" spans="1:23" ht="21">
      <c r="A277" s="82" t="s">
        <v>53</v>
      </c>
      <c r="B277" s="83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5"/>
      <c r="S277" s="86"/>
      <c r="T277" s="86"/>
      <c r="U277" s="86"/>
      <c r="V277" s="86"/>
      <c r="W277" s="86"/>
    </row>
    <row r="278" spans="1:23" ht="21">
      <c r="A278" s="82" t="s">
        <v>54</v>
      </c>
      <c r="B278" s="83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5"/>
      <c r="S278" s="86"/>
      <c r="T278" s="86"/>
      <c r="U278" s="86"/>
      <c r="V278" s="86"/>
      <c r="W278" s="86"/>
    </row>
    <row r="279" spans="1:23" ht="21">
      <c r="A279" s="82" t="s">
        <v>55</v>
      </c>
      <c r="B279" s="83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5"/>
      <c r="S279" s="86"/>
      <c r="T279" s="86"/>
      <c r="U279" s="86"/>
      <c r="V279" s="86"/>
      <c r="W279" s="86"/>
    </row>
    <row r="280" spans="1:23" ht="21">
      <c r="A280" s="82" t="s">
        <v>56</v>
      </c>
      <c r="B280" s="83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5"/>
      <c r="S280" s="86"/>
      <c r="T280" s="86"/>
      <c r="U280" s="86"/>
      <c r="V280" s="86"/>
      <c r="W280" s="86"/>
    </row>
    <row r="281" spans="1:23" ht="42">
      <c r="A281" s="100" t="s">
        <v>57</v>
      </c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3"/>
      <c r="R281" s="104"/>
      <c r="S281" s="105"/>
      <c r="T281" s="105"/>
      <c r="U281" s="105"/>
      <c r="V281" s="105"/>
      <c r="W281" s="105"/>
    </row>
    <row r="282" spans="1:23" ht="21">
      <c r="A282" s="91" t="s">
        <v>58</v>
      </c>
      <c r="B282" s="83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5"/>
      <c r="S282" s="86"/>
      <c r="T282" s="86"/>
      <c r="U282" s="86"/>
      <c r="V282" s="86"/>
      <c r="W282" s="86"/>
    </row>
    <row r="283" spans="1:23" ht="21">
      <c r="A283" s="82" t="s">
        <v>59</v>
      </c>
      <c r="B283" s="83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5"/>
      <c r="S283" s="86"/>
      <c r="T283" s="86"/>
      <c r="U283" s="86"/>
      <c r="V283" s="86"/>
      <c r="W283" s="86"/>
    </row>
    <row r="284" spans="1:23" ht="21">
      <c r="A284" s="82" t="s">
        <v>60</v>
      </c>
      <c r="B284" s="73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5"/>
      <c r="S284" s="86"/>
      <c r="T284" s="86"/>
      <c r="U284" s="86"/>
      <c r="V284" s="86"/>
      <c r="W284" s="86"/>
    </row>
    <row r="285" spans="1:23" ht="21">
      <c r="A285" s="82" t="s">
        <v>61</v>
      </c>
      <c r="B285" s="83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5"/>
      <c r="S285" s="86"/>
      <c r="T285" s="86"/>
      <c r="U285" s="86"/>
      <c r="V285" s="86"/>
      <c r="W285" s="86"/>
    </row>
    <row r="286" spans="1:23" ht="21">
      <c r="A286" s="91" t="s">
        <v>62</v>
      </c>
      <c r="B286" s="83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5"/>
      <c r="S286" s="86"/>
      <c r="T286" s="86"/>
      <c r="U286" s="86"/>
      <c r="V286" s="86"/>
      <c r="W286" s="86"/>
    </row>
    <row r="287" spans="1:23" ht="21">
      <c r="A287" s="106" t="s">
        <v>63</v>
      </c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3"/>
      <c r="R287" s="104"/>
      <c r="S287" s="105"/>
      <c r="T287" s="105"/>
      <c r="U287" s="105"/>
      <c r="V287" s="105"/>
      <c r="W287" s="105"/>
    </row>
    <row r="288" spans="1:23" ht="21">
      <c r="A288" s="107" t="s">
        <v>246</v>
      </c>
      <c r="B288" s="83"/>
      <c r="C288" s="84"/>
      <c r="D288" s="84"/>
      <c r="E288" s="108"/>
      <c r="F288" s="108"/>
      <c r="G288" s="108"/>
      <c r="H288" s="108"/>
      <c r="I288" s="108"/>
      <c r="J288" s="108"/>
      <c r="K288" s="98"/>
      <c r="L288" s="108"/>
      <c r="M288" s="98"/>
      <c r="N288" s="98"/>
      <c r="O288" s="98"/>
      <c r="P288" s="98"/>
      <c r="Q288" s="98"/>
      <c r="R288" s="108"/>
      <c r="S288" s="86"/>
      <c r="T288" s="86"/>
      <c r="U288" s="86"/>
      <c r="V288" s="86"/>
      <c r="W288" s="86"/>
    </row>
    <row r="289" spans="1:23" ht="21">
      <c r="A289" s="107" t="s">
        <v>247</v>
      </c>
      <c r="B289" s="83"/>
      <c r="C289" s="84"/>
      <c r="D289" s="84"/>
      <c r="E289" s="84"/>
      <c r="F289" s="108"/>
      <c r="G289" s="108"/>
      <c r="H289" s="108"/>
      <c r="I289" s="108"/>
      <c r="J289" s="108"/>
      <c r="K289" s="108"/>
      <c r="L289" s="108"/>
      <c r="M289" s="98"/>
      <c r="N289" s="98"/>
      <c r="O289" s="98"/>
      <c r="P289" s="98"/>
      <c r="Q289" s="98"/>
      <c r="R289" s="85"/>
      <c r="S289" s="86"/>
      <c r="T289" s="86"/>
      <c r="U289" s="86"/>
      <c r="V289" s="86"/>
      <c r="W289" s="86"/>
    </row>
    <row r="290" spans="1:23" ht="21">
      <c r="A290" s="107" t="s">
        <v>66</v>
      </c>
      <c r="B290" s="83"/>
      <c r="C290" s="84"/>
      <c r="D290" s="84"/>
      <c r="E290" s="84"/>
      <c r="F290" s="28"/>
      <c r="G290" s="28"/>
      <c r="H290" s="28"/>
      <c r="I290" s="28"/>
      <c r="J290" s="28"/>
      <c r="K290" s="98"/>
      <c r="L290" s="98"/>
      <c r="M290" s="98"/>
      <c r="N290" s="98"/>
      <c r="O290" s="98"/>
      <c r="P290" s="98"/>
      <c r="Q290" s="98"/>
      <c r="R290" s="85"/>
      <c r="S290" s="86"/>
      <c r="T290" s="86"/>
      <c r="U290" s="86"/>
      <c r="V290" s="86"/>
      <c r="W290" s="86"/>
    </row>
    <row r="291" spans="1:23" ht="21">
      <c r="A291" s="26" t="s">
        <v>248</v>
      </c>
      <c r="B291" s="83"/>
      <c r="C291" s="84"/>
      <c r="D291" s="84"/>
      <c r="E291" s="84"/>
      <c r="F291" s="108"/>
      <c r="G291" s="108"/>
      <c r="H291" s="108"/>
      <c r="I291" s="108"/>
      <c r="J291" s="108"/>
      <c r="K291" s="98"/>
      <c r="L291" s="98"/>
      <c r="M291" s="98"/>
      <c r="N291" s="98"/>
      <c r="O291" s="98"/>
      <c r="P291" s="98"/>
      <c r="Q291" s="98"/>
      <c r="R291" s="85"/>
      <c r="S291" s="86"/>
      <c r="T291" s="86"/>
      <c r="U291" s="86"/>
      <c r="V291" s="86"/>
      <c r="W291" s="86"/>
    </row>
    <row r="292" spans="1:23" ht="21">
      <c r="A292" s="26" t="s">
        <v>249</v>
      </c>
      <c r="B292" s="83"/>
      <c r="C292" s="84"/>
      <c r="D292" s="84"/>
      <c r="E292" s="84"/>
      <c r="F292" s="108"/>
      <c r="G292" s="108"/>
      <c r="H292" s="108"/>
      <c r="I292" s="108"/>
      <c r="J292" s="108"/>
      <c r="K292" s="98"/>
      <c r="L292" s="98"/>
      <c r="M292" s="98"/>
      <c r="N292" s="98"/>
      <c r="O292" s="98"/>
      <c r="P292" s="98"/>
      <c r="Q292" s="98"/>
      <c r="R292" s="85"/>
      <c r="S292" s="86"/>
      <c r="T292" s="86"/>
      <c r="U292" s="86"/>
      <c r="V292" s="86"/>
      <c r="W292" s="86"/>
    </row>
    <row r="293" spans="1:23" ht="21">
      <c r="A293" s="26" t="s">
        <v>250</v>
      </c>
      <c r="B293" s="83"/>
      <c r="C293" s="84"/>
      <c r="D293" s="84"/>
      <c r="E293" s="84"/>
      <c r="F293" s="108"/>
      <c r="G293" s="108"/>
      <c r="H293" s="108"/>
      <c r="I293" s="108"/>
      <c r="J293" s="108"/>
      <c r="K293" s="98"/>
      <c r="L293" s="108"/>
      <c r="M293" s="108"/>
      <c r="N293" s="108"/>
      <c r="O293" s="108"/>
      <c r="P293" s="98"/>
      <c r="Q293" s="98"/>
      <c r="R293" s="85"/>
      <c r="S293" s="86"/>
      <c r="T293" s="86"/>
      <c r="U293" s="86"/>
      <c r="V293" s="86"/>
      <c r="W293" s="86"/>
    </row>
    <row r="294" spans="1:23" ht="21">
      <c r="A294" s="26"/>
      <c r="B294" s="83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5"/>
      <c r="S294" s="86"/>
      <c r="T294" s="86"/>
      <c r="U294" s="86"/>
      <c r="V294" s="86"/>
      <c r="W294" s="86"/>
    </row>
    <row r="295" spans="1:23" ht="21">
      <c r="A295" s="107" t="s">
        <v>71</v>
      </c>
      <c r="B295" s="83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5"/>
      <c r="S295" s="86"/>
      <c r="T295" s="86"/>
      <c r="U295" s="86"/>
      <c r="V295" s="86"/>
      <c r="W295" s="86"/>
    </row>
    <row r="296" spans="1:23" ht="21">
      <c r="A296" s="21" t="s">
        <v>100</v>
      </c>
      <c r="B296" s="83">
        <v>300</v>
      </c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5"/>
      <c r="S296" s="86"/>
      <c r="T296" s="86"/>
      <c r="U296" s="86"/>
      <c r="V296" s="86"/>
      <c r="W296" s="86"/>
    </row>
    <row r="297" spans="1:23" ht="21">
      <c r="A297" s="25" t="s">
        <v>251</v>
      </c>
      <c r="B297" s="83"/>
      <c r="C297" s="84">
        <v>171</v>
      </c>
      <c r="D297" s="84">
        <v>252</v>
      </c>
      <c r="E297" s="84">
        <f>SUM(C297:D297)</f>
        <v>423</v>
      </c>
      <c r="F297" s="92">
        <v>3</v>
      </c>
      <c r="G297" s="92">
        <v>10</v>
      </c>
      <c r="H297" s="84">
        <v>5</v>
      </c>
      <c r="I297" s="84">
        <v>6</v>
      </c>
      <c r="J297" s="92">
        <v>5</v>
      </c>
      <c r="K297" s="92">
        <v>6</v>
      </c>
      <c r="L297" s="92">
        <v>0</v>
      </c>
      <c r="M297" s="92">
        <v>0</v>
      </c>
      <c r="N297" s="84">
        <f aca="true" t="shared" si="6" ref="N297:O301">F297+H297+J297+L297</f>
        <v>13</v>
      </c>
      <c r="O297" s="84">
        <f t="shared" si="6"/>
        <v>22</v>
      </c>
      <c r="P297" s="84">
        <v>184</v>
      </c>
      <c r="Q297" s="84">
        <v>274</v>
      </c>
      <c r="R297" s="85"/>
      <c r="S297" s="86"/>
      <c r="T297" s="86"/>
      <c r="U297" s="86"/>
      <c r="V297" s="86"/>
      <c r="W297" s="86"/>
    </row>
    <row r="298" spans="1:23" ht="21">
      <c r="A298" s="25" t="s">
        <v>252</v>
      </c>
      <c r="B298" s="83"/>
      <c r="C298" s="84">
        <v>87</v>
      </c>
      <c r="D298" s="84">
        <v>151</v>
      </c>
      <c r="E298" s="84">
        <f>SUM(C298:D298)</f>
        <v>238</v>
      </c>
      <c r="F298" s="84">
        <v>2</v>
      </c>
      <c r="G298" s="84">
        <v>5</v>
      </c>
      <c r="H298" s="84">
        <v>10</v>
      </c>
      <c r="I298" s="84">
        <v>16</v>
      </c>
      <c r="J298" s="84">
        <v>3</v>
      </c>
      <c r="K298" s="84">
        <v>4</v>
      </c>
      <c r="L298" s="84">
        <v>0</v>
      </c>
      <c r="M298" s="84">
        <v>0</v>
      </c>
      <c r="N298" s="84">
        <f t="shared" si="6"/>
        <v>15</v>
      </c>
      <c r="O298" s="84">
        <f t="shared" si="6"/>
        <v>25</v>
      </c>
      <c r="P298" s="84">
        <v>102</v>
      </c>
      <c r="Q298" s="84">
        <v>176</v>
      </c>
      <c r="R298" s="85"/>
      <c r="S298" s="86"/>
      <c r="T298" s="86"/>
      <c r="U298" s="86"/>
      <c r="V298" s="86"/>
      <c r="W298" s="86"/>
    </row>
    <row r="299" spans="1:23" ht="21">
      <c r="A299" s="25" t="s">
        <v>253</v>
      </c>
      <c r="B299" s="83"/>
      <c r="C299" s="84">
        <v>138</v>
      </c>
      <c r="D299" s="84">
        <v>209</v>
      </c>
      <c r="E299" s="84">
        <f>SUM(C299:D299)</f>
        <v>347</v>
      </c>
      <c r="F299" s="92">
        <v>5</v>
      </c>
      <c r="G299" s="92">
        <v>10</v>
      </c>
      <c r="H299" s="84">
        <v>16</v>
      </c>
      <c r="I299" s="84">
        <v>30</v>
      </c>
      <c r="J299" s="84">
        <v>0</v>
      </c>
      <c r="K299" s="84">
        <v>0</v>
      </c>
      <c r="L299" s="84">
        <v>0</v>
      </c>
      <c r="M299" s="84">
        <v>0</v>
      </c>
      <c r="N299" s="84">
        <f t="shared" si="6"/>
        <v>21</v>
      </c>
      <c r="O299" s="84">
        <f t="shared" si="6"/>
        <v>40</v>
      </c>
      <c r="P299" s="84">
        <v>159</v>
      </c>
      <c r="Q299" s="84">
        <v>249</v>
      </c>
      <c r="R299" s="85"/>
      <c r="S299" s="86"/>
      <c r="T299" s="86"/>
      <c r="U299" s="86"/>
      <c r="V299" s="86"/>
      <c r="W299" s="86"/>
    </row>
    <row r="300" spans="1:23" ht="21">
      <c r="A300" s="25" t="s">
        <v>254</v>
      </c>
      <c r="B300" s="83"/>
      <c r="C300" s="84">
        <v>97</v>
      </c>
      <c r="D300" s="84">
        <v>149</v>
      </c>
      <c r="E300" s="84">
        <f>SUM(C300:D300)</f>
        <v>246</v>
      </c>
      <c r="F300" s="92">
        <v>2</v>
      </c>
      <c r="G300" s="92">
        <v>8</v>
      </c>
      <c r="H300" s="84">
        <v>10</v>
      </c>
      <c r="I300" s="84">
        <v>15</v>
      </c>
      <c r="J300" s="84">
        <v>8</v>
      </c>
      <c r="K300" s="84">
        <v>8</v>
      </c>
      <c r="L300" s="84">
        <v>1</v>
      </c>
      <c r="M300" s="84">
        <v>1</v>
      </c>
      <c r="N300" s="84">
        <f t="shared" si="6"/>
        <v>21</v>
      </c>
      <c r="O300" s="84">
        <f t="shared" si="6"/>
        <v>32</v>
      </c>
      <c r="P300" s="84">
        <v>118</v>
      </c>
      <c r="Q300" s="84">
        <v>181</v>
      </c>
      <c r="R300" s="85"/>
      <c r="S300" s="86"/>
      <c r="T300" s="86"/>
      <c r="U300" s="86"/>
      <c r="V300" s="86"/>
      <c r="W300" s="86"/>
    </row>
    <row r="301" spans="1:23" ht="21">
      <c r="A301" s="25" t="s">
        <v>255</v>
      </c>
      <c r="B301" s="83"/>
      <c r="C301" s="84">
        <v>0</v>
      </c>
      <c r="D301" s="84">
        <v>139</v>
      </c>
      <c r="E301" s="84">
        <f>SUM(C301:D301)</f>
        <v>139</v>
      </c>
      <c r="F301" s="92">
        <v>0</v>
      </c>
      <c r="G301" s="92">
        <v>15</v>
      </c>
      <c r="H301" s="84">
        <v>0</v>
      </c>
      <c r="I301" s="84">
        <v>10</v>
      </c>
      <c r="J301" s="84">
        <v>0</v>
      </c>
      <c r="K301" s="84">
        <v>0</v>
      </c>
      <c r="L301" s="84">
        <v>0</v>
      </c>
      <c r="M301" s="84">
        <v>0</v>
      </c>
      <c r="N301" s="84">
        <f t="shared" si="6"/>
        <v>0</v>
      </c>
      <c r="O301" s="84">
        <f t="shared" si="6"/>
        <v>25</v>
      </c>
      <c r="P301" s="84">
        <v>0</v>
      </c>
      <c r="Q301" s="84">
        <v>164</v>
      </c>
      <c r="R301" s="85"/>
      <c r="S301" s="86"/>
      <c r="T301" s="86"/>
      <c r="U301" s="86"/>
      <c r="V301" s="86"/>
      <c r="W301" s="86"/>
    </row>
    <row r="302" spans="1:23" ht="21">
      <c r="A302" s="91" t="s">
        <v>104</v>
      </c>
      <c r="B302" s="83">
        <v>300</v>
      </c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5"/>
      <c r="S302" s="86"/>
      <c r="T302" s="86"/>
      <c r="U302" s="86"/>
      <c r="V302" s="86"/>
      <c r="W302" s="86"/>
    </row>
    <row r="303" spans="1:23" ht="21">
      <c r="A303" s="90" t="s">
        <v>256</v>
      </c>
      <c r="B303" s="83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>
        <f aca="true" t="shared" si="7" ref="N303:O318">F303+H303+J303+L303</f>
        <v>0</v>
      </c>
      <c r="O303" s="84">
        <f t="shared" si="7"/>
        <v>0</v>
      </c>
      <c r="P303" s="84"/>
      <c r="Q303" s="84"/>
      <c r="R303" s="85"/>
      <c r="S303" s="86"/>
      <c r="T303" s="86"/>
      <c r="U303" s="86"/>
      <c r="V303" s="86"/>
      <c r="W303" s="86"/>
    </row>
    <row r="304" spans="1:23" ht="21">
      <c r="A304" s="90" t="s">
        <v>257</v>
      </c>
      <c r="B304" s="83"/>
      <c r="C304" s="84">
        <v>216</v>
      </c>
      <c r="D304" s="84">
        <v>231</v>
      </c>
      <c r="E304" s="84">
        <f>SUM(C304:D304)</f>
        <v>447</v>
      </c>
      <c r="F304" s="84">
        <v>7</v>
      </c>
      <c r="G304" s="84">
        <v>8</v>
      </c>
      <c r="H304" s="84">
        <v>17</v>
      </c>
      <c r="I304" s="84">
        <v>16</v>
      </c>
      <c r="J304" s="84">
        <v>15</v>
      </c>
      <c r="K304" s="84">
        <v>14</v>
      </c>
      <c r="L304" s="84">
        <v>14</v>
      </c>
      <c r="M304" s="84">
        <v>13</v>
      </c>
      <c r="N304" s="84">
        <f t="shared" si="7"/>
        <v>53</v>
      </c>
      <c r="O304" s="84">
        <f t="shared" si="7"/>
        <v>51</v>
      </c>
      <c r="P304" s="84"/>
      <c r="Q304" s="84"/>
      <c r="R304" s="85"/>
      <c r="S304" s="86"/>
      <c r="T304" s="86"/>
      <c r="U304" s="86"/>
      <c r="V304" s="86"/>
      <c r="W304" s="86"/>
    </row>
    <row r="305" spans="1:23" ht="21">
      <c r="A305" s="90" t="s">
        <v>258</v>
      </c>
      <c r="B305" s="83"/>
      <c r="C305" s="84">
        <v>150</v>
      </c>
      <c r="D305" s="84">
        <v>197</v>
      </c>
      <c r="E305" s="84">
        <f>SUM(C305:D305)</f>
        <v>347</v>
      </c>
      <c r="F305" s="84">
        <v>10</v>
      </c>
      <c r="G305" s="84">
        <v>15</v>
      </c>
      <c r="H305" s="84">
        <v>12</v>
      </c>
      <c r="I305" s="84">
        <v>7</v>
      </c>
      <c r="J305" s="84">
        <v>13</v>
      </c>
      <c r="K305" s="84">
        <v>16</v>
      </c>
      <c r="L305" s="84">
        <v>18</v>
      </c>
      <c r="M305" s="84">
        <v>15</v>
      </c>
      <c r="N305" s="84">
        <f t="shared" si="7"/>
        <v>53</v>
      </c>
      <c r="O305" s="84">
        <f t="shared" si="7"/>
        <v>53</v>
      </c>
      <c r="P305" s="84"/>
      <c r="Q305" s="84"/>
      <c r="R305" s="85"/>
      <c r="S305" s="86"/>
      <c r="T305" s="86"/>
      <c r="U305" s="86"/>
      <c r="V305" s="86"/>
      <c r="W305" s="86"/>
    </row>
    <row r="306" spans="1:23" ht="21">
      <c r="A306" s="90" t="s">
        <v>259</v>
      </c>
      <c r="B306" s="83"/>
      <c r="C306" s="84">
        <v>338</v>
      </c>
      <c r="D306" s="84">
        <v>305</v>
      </c>
      <c r="E306" s="84">
        <f>SUM(C306:D306)</f>
        <v>643</v>
      </c>
      <c r="F306" s="84">
        <v>15</v>
      </c>
      <c r="G306" s="84">
        <v>14</v>
      </c>
      <c r="H306" s="84">
        <v>29</v>
      </c>
      <c r="I306" s="84">
        <v>21</v>
      </c>
      <c r="J306" s="84">
        <v>22</v>
      </c>
      <c r="K306" s="84">
        <v>18</v>
      </c>
      <c r="L306" s="84">
        <v>15</v>
      </c>
      <c r="M306" s="84">
        <v>19</v>
      </c>
      <c r="N306" s="84">
        <f t="shared" si="7"/>
        <v>81</v>
      </c>
      <c r="O306" s="84">
        <f t="shared" si="7"/>
        <v>72</v>
      </c>
      <c r="P306" s="84"/>
      <c r="Q306" s="84"/>
      <c r="R306" s="85"/>
      <c r="S306" s="86"/>
      <c r="T306" s="86"/>
      <c r="U306" s="86"/>
      <c r="V306" s="86"/>
      <c r="W306" s="86"/>
    </row>
    <row r="307" spans="1:23" ht="21">
      <c r="A307" s="21" t="s">
        <v>108</v>
      </c>
      <c r="B307" s="83">
        <v>300</v>
      </c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5"/>
      <c r="S307" s="86"/>
      <c r="T307" s="86"/>
      <c r="U307" s="86"/>
      <c r="V307" s="86"/>
      <c r="W307" s="86"/>
    </row>
    <row r="308" spans="1:23" ht="21">
      <c r="A308" s="25" t="s">
        <v>260</v>
      </c>
      <c r="B308" s="83"/>
      <c r="C308" s="84">
        <v>155</v>
      </c>
      <c r="D308" s="84">
        <v>195</v>
      </c>
      <c r="E308" s="84">
        <f>SUM(C308:D308)</f>
        <v>350</v>
      </c>
      <c r="F308" s="84">
        <v>14</v>
      </c>
      <c r="G308" s="84">
        <v>18</v>
      </c>
      <c r="H308" s="84">
        <v>26</v>
      </c>
      <c r="I308" s="84">
        <v>30</v>
      </c>
      <c r="J308" s="84">
        <v>6</v>
      </c>
      <c r="K308" s="84">
        <v>8</v>
      </c>
      <c r="L308" s="84">
        <v>5</v>
      </c>
      <c r="M308" s="84">
        <v>7</v>
      </c>
      <c r="N308" s="84">
        <f t="shared" si="7"/>
        <v>51</v>
      </c>
      <c r="O308" s="84">
        <f t="shared" si="7"/>
        <v>63</v>
      </c>
      <c r="P308" s="84">
        <v>206</v>
      </c>
      <c r="Q308" s="84">
        <v>258</v>
      </c>
      <c r="R308" s="85"/>
      <c r="S308" s="86"/>
      <c r="T308" s="86"/>
      <c r="U308" s="86"/>
      <c r="V308" s="86"/>
      <c r="W308" s="86"/>
    </row>
    <row r="309" spans="1:23" ht="21">
      <c r="A309" s="25" t="s">
        <v>261</v>
      </c>
      <c r="B309" s="83"/>
      <c r="C309" s="92"/>
      <c r="D309" s="92"/>
      <c r="E309" s="84"/>
      <c r="F309" s="92"/>
      <c r="G309" s="92"/>
      <c r="H309" s="92"/>
      <c r="I309" s="92"/>
      <c r="J309" s="92"/>
      <c r="K309" s="92"/>
      <c r="L309" s="92"/>
      <c r="M309" s="92"/>
      <c r="N309" s="84">
        <f t="shared" si="7"/>
        <v>0</v>
      </c>
      <c r="O309" s="84">
        <f t="shared" si="7"/>
        <v>0</v>
      </c>
      <c r="P309" s="92"/>
      <c r="Q309" s="92"/>
      <c r="R309" s="85"/>
      <c r="S309" s="86"/>
      <c r="T309" s="86"/>
      <c r="U309" s="86"/>
      <c r="V309" s="86"/>
      <c r="W309" s="86"/>
    </row>
    <row r="310" spans="1:23" ht="21">
      <c r="A310" s="25" t="s">
        <v>262</v>
      </c>
      <c r="B310" s="83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>
        <f t="shared" si="7"/>
        <v>0</v>
      </c>
      <c r="O310" s="84">
        <f t="shared" si="7"/>
        <v>0</v>
      </c>
      <c r="P310" s="84"/>
      <c r="Q310" s="84"/>
      <c r="R310" s="85"/>
      <c r="S310" s="86"/>
      <c r="T310" s="86"/>
      <c r="U310" s="86"/>
      <c r="V310" s="86"/>
      <c r="W310" s="86"/>
    </row>
    <row r="311" spans="1:23" ht="21">
      <c r="A311" s="25" t="s">
        <v>263</v>
      </c>
      <c r="B311" s="83"/>
      <c r="C311" s="84">
        <v>113</v>
      </c>
      <c r="D311" s="84">
        <v>135</v>
      </c>
      <c r="E311" s="84">
        <f>SUM(C311:D311)</f>
        <v>248</v>
      </c>
      <c r="F311" s="84">
        <v>4</v>
      </c>
      <c r="G311" s="84">
        <v>5</v>
      </c>
      <c r="H311" s="84">
        <v>12</v>
      </c>
      <c r="I311" s="84">
        <v>16</v>
      </c>
      <c r="J311" s="84">
        <v>14</v>
      </c>
      <c r="K311" s="84">
        <v>16</v>
      </c>
      <c r="L311" s="84">
        <v>10</v>
      </c>
      <c r="M311" s="84">
        <v>12</v>
      </c>
      <c r="N311" s="84">
        <f t="shared" si="7"/>
        <v>40</v>
      </c>
      <c r="O311" s="84">
        <f t="shared" si="7"/>
        <v>49</v>
      </c>
      <c r="P311" s="84">
        <v>153</v>
      </c>
      <c r="Q311" s="84">
        <v>184</v>
      </c>
      <c r="R311" s="85"/>
      <c r="S311" s="86"/>
      <c r="T311" s="86"/>
      <c r="U311" s="86"/>
      <c r="V311" s="86"/>
      <c r="W311" s="86"/>
    </row>
    <row r="312" spans="1:23" ht="21">
      <c r="A312" s="21" t="s">
        <v>113</v>
      </c>
      <c r="B312" s="83">
        <v>300</v>
      </c>
      <c r="C312" s="84"/>
      <c r="D312" s="84"/>
      <c r="E312" s="84"/>
      <c r="F312" s="92"/>
      <c r="G312" s="92"/>
      <c r="H312" s="92"/>
      <c r="I312" s="92"/>
      <c r="J312" s="92"/>
      <c r="K312" s="92"/>
      <c r="L312" s="92"/>
      <c r="M312" s="92"/>
      <c r="N312" s="84"/>
      <c r="O312" s="84"/>
      <c r="P312" s="84"/>
      <c r="Q312" s="84"/>
      <c r="R312" s="85">
        <v>1</v>
      </c>
      <c r="S312" s="86"/>
      <c r="T312" s="86"/>
      <c r="U312" s="86"/>
      <c r="V312" s="86"/>
      <c r="W312" s="86"/>
    </row>
    <row r="313" spans="1:23" ht="21">
      <c r="A313" s="25" t="s">
        <v>264</v>
      </c>
      <c r="B313" s="83"/>
      <c r="C313" s="84">
        <v>141</v>
      </c>
      <c r="D313" s="84">
        <v>336</v>
      </c>
      <c r="E313" s="84">
        <f>SUM(C313:D313)</f>
        <v>477</v>
      </c>
      <c r="F313" s="84"/>
      <c r="G313" s="84"/>
      <c r="H313" s="84"/>
      <c r="I313" s="84"/>
      <c r="J313" s="84"/>
      <c r="K313" s="84"/>
      <c r="L313" s="92"/>
      <c r="M313" s="92"/>
      <c r="N313" s="84">
        <f t="shared" si="7"/>
        <v>0</v>
      </c>
      <c r="O313" s="84">
        <f t="shared" si="7"/>
        <v>0</v>
      </c>
      <c r="P313" s="84">
        <v>141</v>
      </c>
      <c r="Q313" s="84">
        <v>336</v>
      </c>
      <c r="R313" s="85"/>
      <c r="S313" s="86"/>
      <c r="T313" s="86"/>
      <c r="U313" s="86"/>
      <c r="V313" s="86"/>
      <c r="W313" s="86"/>
    </row>
    <row r="314" spans="1:23" ht="21">
      <c r="A314" s="25" t="s">
        <v>265</v>
      </c>
      <c r="B314" s="83"/>
      <c r="C314" s="84">
        <v>75</v>
      </c>
      <c r="D314" s="84">
        <v>96</v>
      </c>
      <c r="E314" s="84">
        <f>SUM(C314:D314)</f>
        <v>171</v>
      </c>
      <c r="F314" s="84"/>
      <c r="G314" s="92"/>
      <c r="H314" s="84"/>
      <c r="I314" s="84"/>
      <c r="J314" s="84"/>
      <c r="K314" s="92"/>
      <c r="L314" s="92"/>
      <c r="M314" s="92"/>
      <c r="N314" s="84">
        <f t="shared" si="7"/>
        <v>0</v>
      </c>
      <c r="O314" s="84">
        <f t="shared" si="7"/>
        <v>0</v>
      </c>
      <c r="P314" s="84">
        <v>75</v>
      </c>
      <c r="Q314" s="84">
        <v>96</v>
      </c>
      <c r="R314" s="85"/>
      <c r="S314" s="86"/>
      <c r="T314" s="86"/>
      <c r="U314" s="86"/>
      <c r="V314" s="86"/>
      <c r="W314" s="86"/>
    </row>
    <row r="315" spans="1:23" ht="21">
      <c r="A315" s="25" t="s">
        <v>266</v>
      </c>
      <c r="B315" s="83"/>
      <c r="C315" s="84">
        <v>113</v>
      </c>
      <c r="D315" s="92">
        <v>133</v>
      </c>
      <c r="E315" s="84">
        <f>SUM(C315:D315)</f>
        <v>246</v>
      </c>
      <c r="F315" s="92"/>
      <c r="G315" s="84"/>
      <c r="H315" s="84"/>
      <c r="I315" s="84"/>
      <c r="J315" s="92"/>
      <c r="K315" s="92"/>
      <c r="L315" s="92"/>
      <c r="M315" s="84"/>
      <c r="N315" s="84">
        <f t="shared" si="7"/>
        <v>0</v>
      </c>
      <c r="O315" s="84">
        <f t="shared" si="7"/>
        <v>0</v>
      </c>
      <c r="P315" s="84">
        <v>113</v>
      </c>
      <c r="Q315" s="92">
        <v>133</v>
      </c>
      <c r="R315" s="85"/>
      <c r="S315" s="86"/>
      <c r="T315" s="86"/>
      <c r="U315" s="86"/>
      <c r="V315" s="86"/>
      <c r="W315" s="86"/>
    </row>
    <row r="316" spans="1:23" ht="21">
      <c r="A316" s="25" t="s">
        <v>267</v>
      </c>
      <c r="B316" s="83"/>
      <c r="C316" s="84">
        <v>141</v>
      </c>
      <c r="D316" s="92">
        <v>171</v>
      </c>
      <c r="E316" s="84">
        <f>SUM(C316:D316)</f>
        <v>312</v>
      </c>
      <c r="F316" s="92"/>
      <c r="G316" s="84"/>
      <c r="H316" s="84"/>
      <c r="I316" s="84"/>
      <c r="J316" s="92"/>
      <c r="K316" s="92"/>
      <c r="L316" s="92"/>
      <c r="M316" s="84"/>
      <c r="N316" s="84">
        <f t="shared" si="7"/>
        <v>0</v>
      </c>
      <c r="O316" s="84">
        <f t="shared" si="7"/>
        <v>0</v>
      </c>
      <c r="P316" s="84">
        <v>141</v>
      </c>
      <c r="Q316" s="92">
        <v>171</v>
      </c>
      <c r="R316" s="85"/>
      <c r="S316" s="86"/>
      <c r="T316" s="86"/>
      <c r="U316" s="86"/>
      <c r="V316" s="86"/>
      <c r="W316" s="86"/>
    </row>
    <row r="317" spans="1:23" ht="21">
      <c r="A317" s="21" t="s">
        <v>117</v>
      </c>
      <c r="B317" s="83">
        <v>300</v>
      </c>
      <c r="C317" s="84"/>
      <c r="D317" s="84"/>
      <c r="E317" s="84"/>
      <c r="F317" s="92"/>
      <c r="G317" s="84"/>
      <c r="H317" s="84"/>
      <c r="I317" s="84"/>
      <c r="J317" s="92"/>
      <c r="K317" s="92"/>
      <c r="L317" s="92"/>
      <c r="M317" s="84"/>
      <c r="N317" s="84"/>
      <c r="O317" s="84"/>
      <c r="P317" s="84"/>
      <c r="Q317" s="92"/>
      <c r="R317" s="85"/>
      <c r="S317" s="86"/>
      <c r="T317" s="86"/>
      <c r="U317" s="86"/>
      <c r="V317" s="86"/>
      <c r="W317" s="86"/>
    </row>
    <row r="318" spans="1:23" ht="21">
      <c r="A318" s="25" t="s">
        <v>260</v>
      </c>
      <c r="B318" s="83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>
        <f t="shared" si="7"/>
        <v>0</v>
      </c>
      <c r="O318" s="84">
        <f t="shared" si="7"/>
        <v>0</v>
      </c>
      <c r="P318" s="84"/>
      <c r="Q318" s="84"/>
      <c r="R318" s="85"/>
      <c r="S318" s="86"/>
      <c r="T318" s="86"/>
      <c r="U318" s="86"/>
      <c r="V318" s="86"/>
      <c r="W318" s="86"/>
    </row>
    <row r="319" spans="1:23" ht="21">
      <c r="A319" s="25" t="s">
        <v>268</v>
      </c>
      <c r="B319" s="83"/>
      <c r="C319" s="84">
        <v>10</v>
      </c>
      <c r="D319" s="84">
        <v>20</v>
      </c>
      <c r="E319" s="84">
        <f>SUM(C319:D319)</f>
        <v>30</v>
      </c>
      <c r="F319" s="84"/>
      <c r="G319" s="84"/>
      <c r="H319" s="84"/>
      <c r="I319" s="84"/>
      <c r="J319" s="84"/>
      <c r="K319" s="84"/>
      <c r="L319" s="92"/>
      <c r="M319" s="92"/>
      <c r="N319" s="84">
        <f aca="true" t="shared" si="8" ref="N319:O373">F319+H319+J319+L319</f>
        <v>0</v>
      </c>
      <c r="O319" s="84">
        <f t="shared" si="8"/>
        <v>0</v>
      </c>
      <c r="P319" s="84"/>
      <c r="Q319" s="84"/>
      <c r="R319" s="85"/>
      <c r="S319" s="86"/>
      <c r="T319" s="86"/>
      <c r="U319" s="86"/>
      <c r="V319" s="86"/>
      <c r="W319" s="86"/>
    </row>
    <row r="320" spans="1:23" ht="21">
      <c r="A320" s="25" t="s">
        <v>269</v>
      </c>
      <c r="B320" s="83"/>
      <c r="C320" s="92">
        <v>15</v>
      </c>
      <c r="D320" s="92">
        <v>15</v>
      </c>
      <c r="E320" s="84">
        <f>SUM(C320:D320)</f>
        <v>30</v>
      </c>
      <c r="F320" s="92"/>
      <c r="G320" s="92"/>
      <c r="H320" s="92"/>
      <c r="I320" s="92"/>
      <c r="J320" s="92"/>
      <c r="K320" s="92"/>
      <c r="L320" s="92"/>
      <c r="M320" s="92"/>
      <c r="N320" s="84">
        <f t="shared" si="8"/>
        <v>0</v>
      </c>
      <c r="O320" s="84">
        <f t="shared" si="8"/>
        <v>0</v>
      </c>
      <c r="P320" s="92"/>
      <c r="Q320" s="92"/>
      <c r="R320" s="85"/>
      <c r="S320" s="86"/>
      <c r="T320" s="86"/>
      <c r="U320" s="86"/>
      <c r="V320" s="86"/>
      <c r="W320" s="86"/>
    </row>
    <row r="321" spans="1:23" ht="21">
      <c r="A321" s="25" t="s">
        <v>270</v>
      </c>
      <c r="B321" s="83"/>
      <c r="C321" s="84">
        <v>15</v>
      </c>
      <c r="D321" s="84">
        <v>15</v>
      </c>
      <c r="E321" s="84">
        <f>SUM(C321:D321)</f>
        <v>30</v>
      </c>
      <c r="F321" s="84"/>
      <c r="G321" s="84"/>
      <c r="H321" s="84"/>
      <c r="I321" s="84"/>
      <c r="J321" s="84"/>
      <c r="K321" s="84"/>
      <c r="L321" s="92"/>
      <c r="M321" s="84"/>
      <c r="N321" s="84">
        <f t="shared" si="8"/>
        <v>0</v>
      </c>
      <c r="O321" s="84">
        <f t="shared" si="8"/>
        <v>0</v>
      </c>
      <c r="P321" s="84"/>
      <c r="Q321" s="84"/>
      <c r="R321" s="85"/>
      <c r="S321" s="86"/>
      <c r="T321" s="86"/>
      <c r="U321" s="86"/>
      <c r="V321" s="86"/>
      <c r="W321" s="86"/>
    </row>
    <row r="322" spans="1:23" ht="21">
      <c r="A322" s="25" t="s">
        <v>271</v>
      </c>
      <c r="B322" s="83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>
        <f t="shared" si="8"/>
        <v>0</v>
      </c>
      <c r="O322" s="84">
        <f t="shared" si="8"/>
        <v>0</v>
      </c>
      <c r="P322" s="84"/>
      <c r="Q322" s="84"/>
      <c r="R322" s="85"/>
      <c r="S322" s="86"/>
      <c r="T322" s="86"/>
      <c r="U322" s="86"/>
      <c r="V322" s="86"/>
      <c r="W322" s="86"/>
    </row>
    <row r="323" spans="1:23" ht="21">
      <c r="A323" s="107" t="s">
        <v>122</v>
      </c>
      <c r="B323" s="83">
        <v>300</v>
      </c>
      <c r="C323" s="84"/>
      <c r="D323" s="84"/>
      <c r="E323" s="84"/>
      <c r="F323" s="92"/>
      <c r="G323" s="84"/>
      <c r="H323" s="84"/>
      <c r="I323" s="84"/>
      <c r="J323" s="84"/>
      <c r="K323" s="84"/>
      <c r="L323" s="92"/>
      <c r="M323" s="92"/>
      <c r="N323" s="84"/>
      <c r="O323" s="84"/>
      <c r="P323" s="84"/>
      <c r="Q323" s="84"/>
      <c r="R323" s="85"/>
      <c r="S323" s="86"/>
      <c r="T323" s="86"/>
      <c r="U323" s="86"/>
      <c r="V323" s="86"/>
      <c r="W323" s="86"/>
    </row>
    <row r="324" spans="1:23" ht="21">
      <c r="A324" s="86" t="s">
        <v>260</v>
      </c>
      <c r="B324" s="83"/>
      <c r="C324" s="84">
        <v>218</v>
      </c>
      <c r="D324" s="84">
        <v>190</v>
      </c>
      <c r="E324" s="84">
        <f>SUM(C324:D324)</f>
        <v>408</v>
      </c>
      <c r="F324" s="92">
        <v>29</v>
      </c>
      <c r="G324" s="92">
        <v>18</v>
      </c>
      <c r="H324" s="84">
        <v>17</v>
      </c>
      <c r="I324" s="84">
        <v>9</v>
      </c>
      <c r="J324" s="84">
        <v>25</v>
      </c>
      <c r="K324" s="84">
        <v>27</v>
      </c>
      <c r="L324" s="92">
        <v>11</v>
      </c>
      <c r="M324" s="92">
        <v>9</v>
      </c>
      <c r="N324" s="84">
        <f t="shared" si="8"/>
        <v>82</v>
      </c>
      <c r="O324" s="84">
        <f t="shared" si="8"/>
        <v>63</v>
      </c>
      <c r="P324" s="84">
        <v>300</v>
      </c>
      <c r="Q324" s="84">
        <v>188</v>
      </c>
      <c r="R324" s="85"/>
      <c r="S324" s="86"/>
      <c r="T324" s="86"/>
      <c r="U324" s="86"/>
      <c r="V324" s="86"/>
      <c r="W324" s="86"/>
    </row>
    <row r="325" spans="1:23" ht="21">
      <c r="A325" s="86" t="s">
        <v>272</v>
      </c>
      <c r="B325" s="83"/>
      <c r="C325" s="84">
        <v>167</v>
      </c>
      <c r="D325" s="84">
        <v>126</v>
      </c>
      <c r="E325" s="84">
        <f>SUM(C325:D325)</f>
        <v>293</v>
      </c>
      <c r="F325" s="84">
        <v>18</v>
      </c>
      <c r="G325" s="84">
        <v>10</v>
      </c>
      <c r="H325" s="84">
        <v>20</v>
      </c>
      <c r="I325" s="84">
        <v>12</v>
      </c>
      <c r="J325" s="84">
        <v>14</v>
      </c>
      <c r="K325" s="84">
        <v>9</v>
      </c>
      <c r="L325" s="92">
        <v>8</v>
      </c>
      <c r="M325" s="92">
        <v>7</v>
      </c>
      <c r="N325" s="84">
        <f t="shared" si="8"/>
        <v>60</v>
      </c>
      <c r="O325" s="84">
        <f t="shared" si="8"/>
        <v>38</v>
      </c>
      <c r="P325" s="84">
        <v>227</v>
      </c>
      <c r="Q325" s="84">
        <v>164</v>
      </c>
      <c r="R325" s="85"/>
      <c r="S325" s="86"/>
      <c r="T325" s="86"/>
      <c r="U325" s="86"/>
      <c r="V325" s="86"/>
      <c r="W325" s="86"/>
    </row>
    <row r="326" spans="1:23" ht="21">
      <c r="A326" s="86" t="s">
        <v>269</v>
      </c>
      <c r="B326" s="83"/>
      <c r="C326" s="84"/>
      <c r="D326" s="84"/>
      <c r="E326" s="84"/>
      <c r="F326" s="92"/>
      <c r="G326" s="92"/>
      <c r="H326" s="84"/>
      <c r="I326" s="84"/>
      <c r="J326" s="92"/>
      <c r="K326" s="92"/>
      <c r="L326" s="92"/>
      <c r="M326" s="92"/>
      <c r="N326" s="84">
        <f t="shared" si="8"/>
        <v>0</v>
      </c>
      <c r="O326" s="84">
        <f t="shared" si="8"/>
        <v>0</v>
      </c>
      <c r="P326" s="84"/>
      <c r="Q326" s="84"/>
      <c r="R326" s="85"/>
      <c r="S326" s="86"/>
      <c r="T326" s="86"/>
      <c r="U326" s="86"/>
      <c r="V326" s="86"/>
      <c r="W326" s="86"/>
    </row>
    <row r="327" spans="1:23" ht="21">
      <c r="A327" s="86" t="s">
        <v>273</v>
      </c>
      <c r="B327" s="83"/>
      <c r="C327" s="84"/>
      <c r="D327" s="84"/>
      <c r="E327" s="84"/>
      <c r="F327" s="92"/>
      <c r="G327" s="92"/>
      <c r="H327" s="84"/>
      <c r="I327" s="84"/>
      <c r="J327" s="92"/>
      <c r="K327" s="92"/>
      <c r="L327" s="92"/>
      <c r="M327" s="92"/>
      <c r="N327" s="84">
        <f t="shared" si="8"/>
        <v>0</v>
      </c>
      <c r="O327" s="84">
        <f t="shared" si="8"/>
        <v>0</v>
      </c>
      <c r="P327" s="84"/>
      <c r="Q327" s="84"/>
      <c r="R327" s="85"/>
      <c r="S327" s="86"/>
      <c r="T327" s="86"/>
      <c r="U327" s="86"/>
      <c r="V327" s="86"/>
      <c r="W327" s="86"/>
    </row>
    <row r="328" spans="1:23" ht="21">
      <c r="A328" s="21" t="s">
        <v>126</v>
      </c>
      <c r="B328" s="83">
        <v>300</v>
      </c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5"/>
      <c r="S328" s="86"/>
      <c r="T328" s="86"/>
      <c r="U328" s="86"/>
      <c r="V328" s="86"/>
      <c r="W328" s="86"/>
    </row>
    <row r="329" spans="1:23" ht="21">
      <c r="A329" s="25" t="s">
        <v>260</v>
      </c>
      <c r="B329" s="83"/>
      <c r="C329" s="84">
        <v>282</v>
      </c>
      <c r="D329" s="84">
        <v>362</v>
      </c>
      <c r="E329" s="84">
        <f>SUM(C329:D329)</f>
        <v>644</v>
      </c>
      <c r="F329" s="84">
        <v>5</v>
      </c>
      <c r="G329" s="84">
        <v>8</v>
      </c>
      <c r="H329" s="84">
        <v>14</v>
      </c>
      <c r="I329" s="84">
        <v>20</v>
      </c>
      <c r="J329" s="92">
        <v>13</v>
      </c>
      <c r="K329" s="84">
        <v>19</v>
      </c>
      <c r="L329" s="92">
        <v>11</v>
      </c>
      <c r="M329" s="84">
        <v>7</v>
      </c>
      <c r="N329" s="84">
        <f t="shared" si="8"/>
        <v>43</v>
      </c>
      <c r="O329" s="84">
        <f t="shared" si="8"/>
        <v>54</v>
      </c>
      <c r="P329" s="84">
        <v>352</v>
      </c>
      <c r="Q329" s="84">
        <v>416</v>
      </c>
      <c r="R329" s="85"/>
      <c r="S329" s="86"/>
      <c r="T329" s="86"/>
      <c r="U329" s="86"/>
      <c r="V329" s="86"/>
      <c r="W329" s="86"/>
    </row>
    <row r="330" spans="1:23" ht="21">
      <c r="A330" s="25" t="s">
        <v>274</v>
      </c>
      <c r="B330" s="83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>
        <f t="shared" si="8"/>
        <v>0</v>
      </c>
      <c r="O330" s="84">
        <f t="shared" si="8"/>
        <v>0</v>
      </c>
      <c r="P330" s="84"/>
      <c r="Q330" s="84"/>
      <c r="R330" s="85"/>
      <c r="S330" s="86"/>
      <c r="T330" s="86"/>
      <c r="U330" s="86"/>
      <c r="V330" s="86"/>
      <c r="W330" s="86"/>
    </row>
    <row r="331" spans="1:23" ht="21">
      <c r="A331" s="25" t="s">
        <v>275</v>
      </c>
      <c r="B331" s="83"/>
      <c r="C331" s="84">
        <v>101</v>
      </c>
      <c r="D331" s="84">
        <v>92</v>
      </c>
      <c r="E331" s="84">
        <f>SUM(C331:D331)</f>
        <v>193</v>
      </c>
      <c r="F331" s="92">
        <v>2</v>
      </c>
      <c r="G331" s="84">
        <v>3</v>
      </c>
      <c r="H331" s="84">
        <v>9</v>
      </c>
      <c r="I331" s="84">
        <v>12</v>
      </c>
      <c r="J331" s="84">
        <v>10</v>
      </c>
      <c r="K331" s="84">
        <v>7</v>
      </c>
      <c r="L331" s="84">
        <v>3</v>
      </c>
      <c r="M331" s="84">
        <v>5</v>
      </c>
      <c r="N331" s="84">
        <f t="shared" si="8"/>
        <v>24</v>
      </c>
      <c r="O331" s="84">
        <f t="shared" si="8"/>
        <v>27</v>
      </c>
      <c r="P331" s="84">
        <v>125</v>
      </c>
      <c r="Q331" s="84">
        <v>119</v>
      </c>
      <c r="R331" s="85"/>
      <c r="S331" s="86"/>
      <c r="T331" s="86"/>
      <c r="U331" s="86"/>
      <c r="V331" s="86"/>
      <c r="W331" s="86"/>
    </row>
    <row r="332" spans="1:23" ht="21">
      <c r="A332" s="25" t="s">
        <v>276</v>
      </c>
      <c r="B332" s="83"/>
      <c r="C332" s="84">
        <v>791</v>
      </c>
      <c r="D332" s="84">
        <v>790</v>
      </c>
      <c r="E332" s="84">
        <f>SUM(C332:D332)</f>
        <v>1581</v>
      </c>
      <c r="F332" s="92">
        <v>20</v>
      </c>
      <c r="G332" s="84">
        <v>26</v>
      </c>
      <c r="H332" s="84">
        <v>31</v>
      </c>
      <c r="I332" s="84">
        <v>39</v>
      </c>
      <c r="J332" s="84">
        <v>40</v>
      </c>
      <c r="K332" s="84">
        <v>47</v>
      </c>
      <c r="L332" s="84">
        <v>35</v>
      </c>
      <c r="M332" s="84">
        <v>33</v>
      </c>
      <c r="N332" s="84">
        <f t="shared" si="8"/>
        <v>126</v>
      </c>
      <c r="O332" s="84">
        <f t="shared" si="8"/>
        <v>145</v>
      </c>
      <c r="P332" s="84">
        <v>917</v>
      </c>
      <c r="Q332" s="84">
        <v>935</v>
      </c>
      <c r="R332" s="85"/>
      <c r="S332" s="86"/>
      <c r="T332" s="86"/>
      <c r="U332" s="86"/>
      <c r="V332" s="86"/>
      <c r="W332" s="86"/>
    </row>
    <row r="333" spans="1:23" ht="21">
      <c r="A333" s="91" t="s">
        <v>129</v>
      </c>
      <c r="B333" s="83">
        <v>300</v>
      </c>
      <c r="C333" s="84"/>
      <c r="D333" s="84"/>
      <c r="E333" s="84"/>
      <c r="F333" s="92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5"/>
      <c r="S333" s="86"/>
      <c r="T333" s="86"/>
      <c r="U333" s="86"/>
      <c r="V333" s="86"/>
      <c r="W333" s="86"/>
    </row>
    <row r="334" spans="1:23" ht="21">
      <c r="A334" s="86" t="s">
        <v>277</v>
      </c>
      <c r="B334" s="83"/>
      <c r="C334" s="84">
        <v>27</v>
      </c>
      <c r="D334" s="84">
        <v>28</v>
      </c>
      <c r="E334" s="84">
        <f>SUM(C334:D334)</f>
        <v>55</v>
      </c>
      <c r="F334" s="92">
        <v>15</v>
      </c>
      <c r="G334" s="84">
        <v>10</v>
      </c>
      <c r="H334" s="84">
        <v>7</v>
      </c>
      <c r="I334" s="84">
        <v>8</v>
      </c>
      <c r="J334" s="84">
        <v>5</v>
      </c>
      <c r="K334" s="84">
        <v>5</v>
      </c>
      <c r="L334" s="84">
        <v>2</v>
      </c>
      <c r="M334" s="84">
        <v>0</v>
      </c>
      <c r="N334" s="84">
        <f t="shared" si="8"/>
        <v>29</v>
      </c>
      <c r="O334" s="84">
        <f t="shared" si="8"/>
        <v>23</v>
      </c>
      <c r="P334" s="84">
        <v>56</v>
      </c>
      <c r="Q334" s="84">
        <v>51</v>
      </c>
      <c r="R334" s="85"/>
      <c r="S334" s="86"/>
      <c r="T334" s="86"/>
      <c r="U334" s="86"/>
      <c r="V334" s="86"/>
      <c r="W334" s="86"/>
    </row>
    <row r="335" spans="1:23" ht="21">
      <c r="A335" s="86" t="s">
        <v>278</v>
      </c>
      <c r="B335" s="83"/>
      <c r="C335" s="84">
        <v>75</v>
      </c>
      <c r="D335" s="84">
        <v>70</v>
      </c>
      <c r="E335" s="84">
        <f>SUM(C335:D335)</f>
        <v>145</v>
      </c>
      <c r="F335" s="84">
        <v>15</v>
      </c>
      <c r="G335" s="84">
        <v>14</v>
      </c>
      <c r="H335" s="84">
        <v>21</v>
      </c>
      <c r="I335" s="84">
        <v>20</v>
      </c>
      <c r="J335" s="84">
        <v>25</v>
      </c>
      <c r="K335" s="84">
        <v>27</v>
      </c>
      <c r="L335" s="84">
        <v>9</v>
      </c>
      <c r="M335" s="84">
        <v>9</v>
      </c>
      <c r="N335" s="84">
        <f t="shared" si="8"/>
        <v>70</v>
      </c>
      <c r="O335" s="84">
        <f t="shared" si="8"/>
        <v>70</v>
      </c>
      <c r="P335" s="84">
        <v>145</v>
      </c>
      <c r="Q335" s="84">
        <v>140</v>
      </c>
      <c r="R335" s="85"/>
      <c r="S335" s="86"/>
      <c r="T335" s="86"/>
      <c r="U335" s="86"/>
      <c r="V335" s="86"/>
      <c r="W335" s="86"/>
    </row>
    <row r="336" spans="1:23" ht="21">
      <c r="A336" s="86" t="s">
        <v>279</v>
      </c>
      <c r="B336" s="84"/>
      <c r="C336" s="84">
        <v>65</v>
      </c>
      <c r="D336" s="84">
        <v>61</v>
      </c>
      <c r="E336" s="84">
        <f>SUM(C336:D336)</f>
        <v>126</v>
      </c>
      <c r="F336" s="84">
        <v>10</v>
      </c>
      <c r="G336" s="84">
        <v>3</v>
      </c>
      <c r="H336" s="84">
        <v>5</v>
      </c>
      <c r="I336" s="84">
        <v>7</v>
      </c>
      <c r="J336" s="84">
        <v>11</v>
      </c>
      <c r="K336" s="84">
        <v>10</v>
      </c>
      <c r="L336" s="84">
        <v>3</v>
      </c>
      <c r="M336" s="84">
        <v>3</v>
      </c>
      <c r="N336" s="84">
        <f t="shared" si="8"/>
        <v>29</v>
      </c>
      <c r="O336" s="84">
        <f t="shared" si="8"/>
        <v>23</v>
      </c>
      <c r="P336" s="84">
        <v>94</v>
      </c>
      <c r="Q336" s="84">
        <v>84</v>
      </c>
      <c r="R336" s="85"/>
      <c r="S336" s="86"/>
      <c r="T336" s="86"/>
      <c r="U336" s="86"/>
      <c r="V336" s="86"/>
      <c r="W336" s="86"/>
    </row>
    <row r="337" spans="1:23" ht="21">
      <c r="A337" s="86" t="s">
        <v>280</v>
      </c>
      <c r="B337" s="83"/>
      <c r="C337" s="84">
        <v>39</v>
      </c>
      <c r="D337" s="84">
        <v>45</v>
      </c>
      <c r="E337" s="84">
        <f>SUM(C337:D337)</f>
        <v>84</v>
      </c>
      <c r="F337" s="84">
        <v>7</v>
      </c>
      <c r="G337" s="84">
        <v>5</v>
      </c>
      <c r="H337" s="84">
        <v>7</v>
      </c>
      <c r="I337" s="84">
        <v>9</v>
      </c>
      <c r="J337" s="84">
        <v>10</v>
      </c>
      <c r="K337" s="84">
        <v>7</v>
      </c>
      <c r="L337" s="92">
        <v>7</v>
      </c>
      <c r="M337" s="92">
        <v>5</v>
      </c>
      <c r="N337" s="84">
        <f t="shared" si="8"/>
        <v>31</v>
      </c>
      <c r="O337" s="84">
        <f t="shared" si="8"/>
        <v>26</v>
      </c>
      <c r="P337" s="84">
        <v>70</v>
      </c>
      <c r="Q337" s="84">
        <v>71</v>
      </c>
      <c r="R337" s="85"/>
      <c r="S337" s="86"/>
      <c r="T337" s="86"/>
      <c r="U337" s="86"/>
      <c r="V337" s="86"/>
      <c r="W337" s="86"/>
    </row>
    <row r="338" spans="1:23" ht="21">
      <c r="A338" s="86" t="s">
        <v>281</v>
      </c>
      <c r="B338" s="83"/>
      <c r="C338" s="84"/>
      <c r="D338" s="84"/>
      <c r="E338" s="84"/>
      <c r="F338" s="84"/>
      <c r="G338" s="84"/>
      <c r="H338" s="84"/>
      <c r="I338" s="84"/>
      <c r="J338" s="84"/>
      <c r="K338" s="84"/>
      <c r="L338" s="92"/>
      <c r="M338" s="92"/>
      <c r="N338" s="84">
        <f t="shared" si="8"/>
        <v>0</v>
      </c>
      <c r="O338" s="84">
        <f t="shared" si="8"/>
        <v>0</v>
      </c>
      <c r="P338" s="84"/>
      <c r="Q338" s="84"/>
      <c r="R338" s="85"/>
      <c r="S338" s="86"/>
      <c r="T338" s="86"/>
      <c r="U338" s="86"/>
      <c r="V338" s="86"/>
      <c r="W338" s="86"/>
    </row>
    <row r="339" spans="1:23" ht="21">
      <c r="A339" s="21" t="s">
        <v>132</v>
      </c>
      <c r="B339" s="83">
        <v>300</v>
      </c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5"/>
      <c r="S339" s="86"/>
      <c r="T339" s="86"/>
      <c r="U339" s="86"/>
      <c r="V339" s="86"/>
      <c r="W339" s="86"/>
    </row>
    <row r="340" spans="1:23" ht="21">
      <c r="A340" s="25" t="s">
        <v>282</v>
      </c>
      <c r="B340" s="83"/>
      <c r="C340" s="84"/>
      <c r="D340" s="84"/>
      <c r="E340" s="84"/>
      <c r="F340" s="84"/>
      <c r="G340" s="84"/>
      <c r="H340" s="84"/>
      <c r="I340" s="84"/>
      <c r="J340" s="84"/>
      <c r="K340" s="84"/>
      <c r="L340" s="92"/>
      <c r="M340" s="84"/>
      <c r="N340" s="84">
        <f t="shared" si="8"/>
        <v>0</v>
      </c>
      <c r="O340" s="84">
        <f t="shared" si="8"/>
        <v>0</v>
      </c>
      <c r="P340" s="84"/>
      <c r="Q340" s="84"/>
      <c r="R340" s="85"/>
      <c r="S340" s="86"/>
      <c r="T340" s="86"/>
      <c r="U340" s="86"/>
      <c r="V340" s="86"/>
      <c r="W340" s="86"/>
    </row>
    <row r="341" spans="1:23" ht="21">
      <c r="A341" s="25" t="s">
        <v>283</v>
      </c>
      <c r="B341" s="83"/>
      <c r="C341" s="96">
        <v>207</v>
      </c>
      <c r="D341" s="96">
        <v>145</v>
      </c>
      <c r="E341" s="84">
        <f>SUM(C341:D341)</f>
        <v>352</v>
      </c>
      <c r="F341" s="84">
        <v>20</v>
      </c>
      <c r="G341" s="84">
        <v>10</v>
      </c>
      <c r="H341" s="84">
        <v>40</v>
      </c>
      <c r="I341" s="84">
        <v>20</v>
      </c>
      <c r="J341" s="84">
        <v>10</v>
      </c>
      <c r="K341" s="84">
        <v>10</v>
      </c>
      <c r="L341" s="84">
        <v>0</v>
      </c>
      <c r="M341" s="84">
        <v>0</v>
      </c>
      <c r="N341" s="84">
        <f t="shared" si="8"/>
        <v>70</v>
      </c>
      <c r="O341" s="84">
        <f t="shared" si="8"/>
        <v>40</v>
      </c>
      <c r="P341" s="96">
        <v>277</v>
      </c>
      <c r="Q341" s="96">
        <v>185</v>
      </c>
      <c r="R341" s="85"/>
      <c r="S341" s="86"/>
      <c r="T341" s="86"/>
      <c r="U341" s="86"/>
      <c r="V341" s="86"/>
      <c r="W341" s="86"/>
    </row>
    <row r="342" spans="1:23" ht="21">
      <c r="A342" s="25" t="s">
        <v>284</v>
      </c>
      <c r="B342" s="83"/>
      <c r="C342" s="96">
        <v>169</v>
      </c>
      <c r="D342" s="96">
        <v>179</v>
      </c>
      <c r="E342" s="84">
        <f>SUM(C342:D342)</f>
        <v>348</v>
      </c>
      <c r="F342" s="84">
        <v>5</v>
      </c>
      <c r="G342" s="84">
        <v>7</v>
      </c>
      <c r="H342" s="84">
        <v>20</v>
      </c>
      <c r="I342" s="84">
        <v>20</v>
      </c>
      <c r="J342" s="84">
        <v>15</v>
      </c>
      <c r="K342" s="84">
        <v>15</v>
      </c>
      <c r="L342" s="84">
        <v>7</v>
      </c>
      <c r="M342" s="84">
        <v>8</v>
      </c>
      <c r="N342" s="84">
        <f t="shared" si="8"/>
        <v>47</v>
      </c>
      <c r="O342" s="84">
        <f t="shared" si="8"/>
        <v>50</v>
      </c>
      <c r="P342" s="96">
        <v>216</v>
      </c>
      <c r="Q342" s="96">
        <v>229</v>
      </c>
      <c r="R342" s="85"/>
      <c r="S342" s="86"/>
      <c r="T342" s="86"/>
      <c r="U342" s="86"/>
      <c r="V342" s="86"/>
      <c r="W342" s="86"/>
    </row>
    <row r="343" spans="1:23" ht="21">
      <c r="A343" s="25" t="s">
        <v>285</v>
      </c>
      <c r="B343" s="83"/>
      <c r="C343" s="96">
        <v>184</v>
      </c>
      <c r="D343" s="96">
        <v>175</v>
      </c>
      <c r="E343" s="84">
        <f>SUM(C343:D343)</f>
        <v>359</v>
      </c>
      <c r="F343" s="84">
        <v>15</v>
      </c>
      <c r="G343" s="84">
        <v>15</v>
      </c>
      <c r="H343" s="84">
        <v>18</v>
      </c>
      <c r="I343" s="84">
        <v>18</v>
      </c>
      <c r="J343" s="84">
        <v>17</v>
      </c>
      <c r="K343" s="84">
        <v>8</v>
      </c>
      <c r="L343" s="84">
        <v>7</v>
      </c>
      <c r="M343" s="84">
        <v>5</v>
      </c>
      <c r="N343" s="84">
        <f t="shared" si="8"/>
        <v>57</v>
      </c>
      <c r="O343" s="84">
        <f t="shared" si="8"/>
        <v>46</v>
      </c>
      <c r="P343" s="96">
        <v>241</v>
      </c>
      <c r="Q343" s="96">
        <v>221</v>
      </c>
      <c r="R343" s="85"/>
      <c r="S343" s="86"/>
      <c r="T343" s="86"/>
      <c r="U343" s="86"/>
      <c r="V343" s="86"/>
      <c r="W343" s="86"/>
    </row>
    <row r="344" spans="1:23" ht="21">
      <c r="A344" s="21" t="s">
        <v>134</v>
      </c>
      <c r="B344" s="83">
        <v>300</v>
      </c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5"/>
      <c r="S344" s="86"/>
      <c r="T344" s="86"/>
      <c r="U344" s="86"/>
      <c r="V344" s="86"/>
      <c r="W344" s="86"/>
    </row>
    <row r="345" spans="1:23" ht="21">
      <c r="A345" s="25" t="s">
        <v>260</v>
      </c>
      <c r="B345" s="83"/>
      <c r="C345" s="84">
        <v>134</v>
      </c>
      <c r="D345" s="84">
        <v>129</v>
      </c>
      <c r="E345" s="84">
        <f>SUM(C345:D345)</f>
        <v>263</v>
      </c>
      <c r="F345" s="84">
        <v>6</v>
      </c>
      <c r="G345" s="84">
        <v>4</v>
      </c>
      <c r="H345" s="84">
        <v>23</v>
      </c>
      <c r="I345" s="84">
        <v>25</v>
      </c>
      <c r="J345" s="84">
        <v>26</v>
      </c>
      <c r="K345" s="84">
        <v>16</v>
      </c>
      <c r="L345" s="84">
        <v>5</v>
      </c>
      <c r="M345" s="84">
        <v>7</v>
      </c>
      <c r="N345" s="84">
        <f t="shared" si="8"/>
        <v>60</v>
      </c>
      <c r="O345" s="84">
        <f t="shared" si="8"/>
        <v>52</v>
      </c>
      <c r="P345" s="84">
        <v>194</v>
      </c>
      <c r="Q345" s="84">
        <v>181</v>
      </c>
      <c r="R345" s="85"/>
      <c r="S345" s="86"/>
      <c r="T345" s="86"/>
      <c r="U345" s="86"/>
      <c r="V345" s="86"/>
      <c r="W345" s="86"/>
    </row>
    <row r="346" spans="1:23" ht="21">
      <c r="A346" s="25" t="s">
        <v>286</v>
      </c>
      <c r="B346" s="83"/>
      <c r="C346" s="84">
        <v>228</v>
      </c>
      <c r="D346" s="84">
        <v>213</v>
      </c>
      <c r="E346" s="84">
        <f>SUM(C346:D346)</f>
        <v>441</v>
      </c>
      <c r="F346" s="84">
        <v>12</v>
      </c>
      <c r="G346" s="84">
        <v>14</v>
      </c>
      <c r="H346" s="84">
        <v>26</v>
      </c>
      <c r="I346" s="84">
        <v>24</v>
      </c>
      <c r="J346" s="84">
        <v>25</v>
      </c>
      <c r="K346" s="84">
        <v>20</v>
      </c>
      <c r="L346" s="84">
        <v>21</v>
      </c>
      <c r="M346" s="84">
        <v>22</v>
      </c>
      <c r="N346" s="84">
        <f t="shared" si="8"/>
        <v>84</v>
      </c>
      <c r="O346" s="84">
        <f t="shared" si="8"/>
        <v>80</v>
      </c>
      <c r="P346" s="84">
        <v>312</v>
      </c>
      <c r="Q346" s="84">
        <v>293</v>
      </c>
      <c r="R346" s="85"/>
      <c r="S346" s="86"/>
      <c r="T346" s="86"/>
      <c r="U346" s="86"/>
      <c r="V346" s="86"/>
      <c r="W346" s="86"/>
    </row>
    <row r="347" spans="1:23" ht="21">
      <c r="A347" s="25" t="s">
        <v>287</v>
      </c>
      <c r="B347" s="83"/>
      <c r="C347" s="84">
        <v>228</v>
      </c>
      <c r="D347" s="84">
        <v>240</v>
      </c>
      <c r="E347" s="84">
        <f>SUM(C347:D347)</f>
        <v>468</v>
      </c>
      <c r="F347" s="84">
        <v>8</v>
      </c>
      <c r="G347" s="84">
        <v>12</v>
      </c>
      <c r="H347" s="84">
        <v>14</v>
      </c>
      <c r="I347" s="84">
        <v>21</v>
      </c>
      <c r="J347" s="84">
        <v>16</v>
      </c>
      <c r="K347" s="84">
        <v>21</v>
      </c>
      <c r="L347" s="84">
        <v>23</v>
      </c>
      <c r="M347" s="84">
        <v>17</v>
      </c>
      <c r="N347" s="84">
        <f t="shared" si="8"/>
        <v>61</v>
      </c>
      <c r="O347" s="84">
        <f t="shared" si="8"/>
        <v>71</v>
      </c>
      <c r="P347" s="84">
        <v>289</v>
      </c>
      <c r="Q347" s="84">
        <v>311</v>
      </c>
      <c r="R347" s="85"/>
      <c r="S347" s="86"/>
      <c r="T347" s="86"/>
      <c r="U347" s="86"/>
      <c r="V347" s="86"/>
      <c r="W347" s="86"/>
    </row>
    <row r="348" spans="1:23" ht="21">
      <c r="A348" s="25" t="s">
        <v>288</v>
      </c>
      <c r="B348" s="83"/>
      <c r="C348" s="84">
        <v>27</v>
      </c>
      <c r="D348" s="84">
        <v>33</v>
      </c>
      <c r="E348" s="84">
        <f>SUM(C348:D348)</f>
        <v>60</v>
      </c>
      <c r="F348" s="84"/>
      <c r="G348" s="84"/>
      <c r="H348" s="84"/>
      <c r="I348" s="84"/>
      <c r="J348" s="84"/>
      <c r="K348" s="84"/>
      <c r="L348" s="84"/>
      <c r="M348" s="84"/>
      <c r="N348" s="84">
        <f t="shared" si="8"/>
        <v>0</v>
      </c>
      <c r="O348" s="84">
        <f t="shared" si="8"/>
        <v>0</v>
      </c>
      <c r="P348" s="84"/>
      <c r="Q348" s="84"/>
      <c r="R348" s="85"/>
      <c r="S348" s="86"/>
      <c r="T348" s="86"/>
      <c r="U348" s="86"/>
      <c r="V348" s="86"/>
      <c r="W348" s="86"/>
    </row>
    <row r="349" spans="1:23" ht="21">
      <c r="A349" s="25" t="s">
        <v>289</v>
      </c>
      <c r="B349" s="83"/>
      <c r="C349" s="84">
        <v>218</v>
      </c>
      <c r="D349" s="84">
        <v>281</v>
      </c>
      <c r="E349" s="84">
        <f>SUM(C349:D349)</f>
        <v>499</v>
      </c>
      <c r="F349" s="84">
        <v>6</v>
      </c>
      <c r="G349" s="84">
        <v>14</v>
      </c>
      <c r="H349" s="84">
        <v>15</v>
      </c>
      <c r="I349" s="84">
        <v>18</v>
      </c>
      <c r="J349" s="84">
        <v>16</v>
      </c>
      <c r="K349" s="84">
        <v>25</v>
      </c>
      <c r="L349" s="84">
        <v>16</v>
      </c>
      <c r="M349" s="84">
        <v>17</v>
      </c>
      <c r="N349" s="84">
        <f t="shared" si="8"/>
        <v>53</v>
      </c>
      <c r="O349" s="84">
        <f t="shared" si="8"/>
        <v>74</v>
      </c>
      <c r="P349" s="84">
        <v>271</v>
      </c>
      <c r="Q349" s="84">
        <v>355</v>
      </c>
      <c r="R349" s="85"/>
      <c r="S349" s="86"/>
      <c r="T349" s="86"/>
      <c r="U349" s="86"/>
      <c r="V349" s="86"/>
      <c r="W349" s="86"/>
    </row>
    <row r="350" spans="1:23" ht="21">
      <c r="A350" s="25" t="s">
        <v>290</v>
      </c>
      <c r="B350" s="83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>
        <f t="shared" si="8"/>
        <v>0</v>
      </c>
      <c r="O350" s="84">
        <f t="shared" si="8"/>
        <v>0</v>
      </c>
      <c r="P350" s="84"/>
      <c r="Q350" s="84"/>
      <c r="R350" s="85"/>
      <c r="S350" s="86"/>
      <c r="T350" s="86"/>
      <c r="U350" s="86"/>
      <c r="V350" s="86"/>
      <c r="W350" s="86"/>
    </row>
    <row r="351" spans="1:23" ht="21">
      <c r="A351" s="21" t="s">
        <v>137</v>
      </c>
      <c r="B351" s="83">
        <v>300</v>
      </c>
      <c r="C351" s="84"/>
      <c r="D351" s="84"/>
      <c r="E351" s="84"/>
      <c r="F351" s="92"/>
      <c r="G351" s="92"/>
      <c r="H351" s="84"/>
      <c r="I351" s="84"/>
      <c r="J351" s="84"/>
      <c r="K351" s="92"/>
      <c r="L351" s="92"/>
      <c r="M351" s="92"/>
      <c r="N351" s="84"/>
      <c r="O351" s="84"/>
      <c r="P351" s="84"/>
      <c r="Q351" s="84"/>
      <c r="R351" s="85"/>
      <c r="S351" s="86"/>
      <c r="T351" s="86"/>
      <c r="U351" s="86"/>
      <c r="V351" s="86"/>
      <c r="W351" s="86"/>
    </row>
    <row r="352" spans="1:23" ht="21">
      <c r="A352" s="25" t="s">
        <v>291</v>
      </c>
      <c r="B352" s="83"/>
      <c r="C352" s="84">
        <v>168</v>
      </c>
      <c r="D352" s="84">
        <v>285</v>
      </c>
      <c r="E352" s="84">
        <f>SUM(C352:D352)</f>
        <v>453</v>
      </c>
      <c r="F352" s="92"/>
      <c r="G352" s="92"/>
      <c r="H352" s="84"/>
      <c r="I352" s="84"/>
      <c r="J352" s="84"/>
      <c r="K352" s="92"/>
      <c r="L352" s="92"/>
      <c r="M352" s="92"/>
      <c r="N352" s="84">
        <f t="shared" si="8"/>
        <v>0</v>
      </c>
      <c r="O352" s="84">
        <f t="shared" si="8"/>
        <v>0</v>
      </c>
      <c r="P352" s="84"/>
      <c r="Q352" s="84"/>
      <c r="R352" s="85"/>
      <c r="S352" s="86"/>
      <c r="T352" s="86"/>
      <c r="U352" s="86"/>
      <c r="V352" s="86"/>
      <c r="W352" s="86"/>
    </row>
    <row r="353" spans="1:23" ht="21">
      <c r="A353" s="25" t="s">
        <v>292</v>
      </c>
      <c r="B353" s="83"/>
      <c r="C353" s="84">
        <v>220</v>
      </c>
      <c r="D353" s="84">
        <v>290</v>
      </c>
      <c r="E353" s="84">
        <f>SUM(C353:D353)</f>
        <v>510</v>
      </c>
      <c r="F353" s="84"/>
      <c r="G353" s="84"/>
      <c r="H353" s="84"/>
      <c r="I353" s="84"/>
      <c r="J353" s="84"/>
      <c r="K353" s="84"/>
      <c r="L353" s="84"/>
      <c r="M353" s="84"/>
      <c r="N353" s="84">
        <f t="shared" si="8"/>
        <v>0</v>
      </c>
      <c r="O353" s="84">
        <f t="shared" si="8"/>
        <v>0</v>
      </c>
      <c r="P353" s="84"/>
      <c r="Q353" s="84"/>
      <c r="R353" s="85"/>
      <c r="S353" s="86"/>
      <c r="T353" s="86"/>
      <c r="U353" s="86"/>
      <c r="V353" s="86"/>
      <c r="W353" s="86"/>
    </row>
    <row r="354" spans="1:23" ht="21">
      <c r="A354" s="25" t="s">
        <v>293</v>
      </c>
      <c r="B354" s="83"/>
      <c r="C354" s="84">
        <v>45</v>
      </c>
      <c r="D354" s="84">
        <v>55</v>
      </c>
      <c r="E354" s="84">
        <f>SUM(C354:D354)</f>
        <v>100</v>
      </c>
      <c r="F354" s="84"/>
      <c r="G354" s="84"/>
      <c r="H354" s="84"/>
      <c r="I354" s="84"/>
      <c r="J354" s="84"/>
      <c r="K354" s="84"/>
      <c r="L354" s="84"/>
      <c r="M354" s="84"/>
      <c r="N354" s="84">
        <f t="shared" si="8"/>
        <v>0</v>
      </c>
      <c r="O354" s="84">
        <f t="shared" si="8"/>
        <v>0</v>
      </c>
      <c r="P354" s="84"/>
      <c r="Q354" s="84"/>
      <c r="R354" s="85"/>
      <c r="S354" s="86"/>
      <c r="T354" s="86"/>
      <c r="U354" s="86"/>
      <c r="V354" s="86"/>
      <c r="W354" s="86"/>
    </row>
    <row r="355" spans="1:23" ht="21">
      <c r="A355" s="21" t="s">
        <v>139</v>
      </c>
      <c r="B355" s="83">
        <v>300</v>
      </c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5"/>
      <c r="S355" s="86"/>
      <c r="T355" s="86"/>
      <c r="U355" s="86"/>
      <c r="V355" s="86"/>
      <c r="W355" s="86"/>
    </row>
    <row r="356" spans="1:23" ht="21">
      <c r="A356" s="25" t="s">
        <v>294</v>
      </c>
      <c r="B356" s="83"/>
      <c r="C356" s="84">
        <v>182</v>
      </c>
      <c r="D356" s="84">
        <v>161</v>
      </c>
      <c r="E356" s="84">
        <f>SUM(C356:D356)</f>
        <v>343</v>
      </c>
      <c r="F356" s="84">
        <v>3</v>
      </c>
      <c r="G356" s="84">
        <v>5</v>
      </c>
      <c r="H356" s="84">
        <v>2</v>
      </c>
      <c r="I356" s="84">
        <v>9</v>
      </c>
      <c r="J356" s="84">
        <v>7</v>
      </c>
      <c r="K356" s="84">
        <v>11</v>
      </c>
      <c r="L356" s="84">
        <v>2</v>
      </c>
      <c r="M356" s="84">
        <v>0</v>
      </c>
      <c r="N356" s="84">
        <f t="shared" si="8"/>
        <v>14</v>
      </c>
      <c r="O356" s="84">
        <f t="shared" si="8"/>
        <v>25</v>
      </c>
      <c r="P356" s="84">
        <v>196</v>
      </c>
      <c r="Q356" s="84">
        <v>186</v>
      </c>
      <c r="R356" s="85">
        <v>0.955</v>
      </c>
      <c r="S356" s="86"/>
      <c r="T356" s="86"/>
      <c r="U356" s="86"/>
      <c r="V356" s="86"/>
      <c r="W356" s="86"/>
    </row>
    <row r="357" spans="1:23" ht="21">
      <c r="A357" s="25" t="s">
        <v>295</v>
      </c>
      <c r="B357" s="83"/>
      <c r="C357" s="84">
        <v>81</v>
      </c>
      <c r="D357" s="84">
        <v>66</v>
      </c>
      <c r="E357" s="84">
        <f>SUM(C357:D357)</f>
        <v>147</v>
      </c>
      <c r="F357" s="84">
        <v>2</v>
      </c>
      <c r="G357" s="84">
        <v>2</v>
      </c>
      <c r="H357" s="84">
        <v>4</v>
      </c>
      <c r="I357" s="84">
        <v>7</v>
      </c>
      <c r="J357" s="84">
        <v>2</v>
      </c>
      <c r="K357" s="84">
        <v>6</v>
      </c>
      <c r="L357" s="84">
        <v>0</v>
      </c>
      <c r="M357" s="84">
        <v>0</v>
      </c>
      <c r="N357" s="84">
        <f t="shared" si="8"/>
        <v>8</v>
      </c>
      <c r="O357" s="84">
        <f t="shared" si="8"/>
        <v>15</v>
      </c>
      <c r="P357" s="84">
        <v>89</v>
      </c>
      <c r="Q357" s="84">
        <v>81</v>
      </c>
      <c r="R357" s="85">
        <v>1.7</v>
      </c>
      <c r="S357" s="86"/>
      <c r="T357" s="86"/>
      <c r="U357" s="86"/>
      <c r="V357" s="86"/>
      <c r="W357" s="86"/>
    </row>
    <row r="358" spans="1:23" ht="21">
      <c r="A358" s="25" t="s">
        <v>269</v>
      </c>
      <c r="B358" s="83"/>
      <c r="C358" s="84">
        <v>12</v>
      </c>
      <c r="D358" s="84">
        <v>18</v>
      </c>
      <c r="E358" s="84">
        <f>SUM(C358:D358)</f>
        <v>30</v>
      </c>
      <c r="F358" s="84"/>
      <c r="G358" s="84"/>
      <c r="H358" s="84"/>
      <c r="I358" s="84"/>
      <c r="J358" s="84"/>
      <c r="K358" s="84"/>
      <c r="L358" s="84"/>
      <c r="M358" s="84"/>
      <c r="N358" s="84">
        <f t="shared" si="8"/>
        <v>0</v>
      </c>
      <c r="O358" s="84">
        <f t="shared" si="8"/>
        <v>0</v>
      </c>
      <c r="P358" s="84"/>
      <c r="Q358" s="84"/>
      <c r="R358" s="85"/>
      <c r="S358" s="86"/>
      <c r="T358" s="86"/>
      <c r="U358" s="86"/>
      <c r="V358" s="86"/>
      <c r="W358" s="86"/>
    </row>
    <row r="359" spans="1:23" ht="21">
      <c r="A359" s="25" t="s">
        <v>273</v>
      </c>
      <c r="B359" s="83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>
        <f t="shared" si="8"/>
        <v>0</v>
      </c>
      <c r="O359" s="84">
        <f t="shared" si="8"/>
        <v>0</v>
      </c>
      <c r="P359" s="84"/>
      <c r="Q359" s="84"/>
      <c r="R359" s="85"/>
      <c r="S359" s="86"/>
      <c r="T359" s="86"/>
      <c r="U359" s="86"/>
      <c r="V359" s="86"/>
      <c r="W359" s="86"/>
    </row>
    <row r="360" spans="1:23" ht="21">
      <c r="A360" s="21" t="s">
        <v>141</v>
      </c>
      <c r="B360" s="83">
        <v>300</v>
      </c>
      <c r="C360" s="84"/>
      <c r="D360" s="84"/>
      <c r="E360" s="84"/>
      <c r="F360" s="84"/>
      <c r="G360" s="84"/>
      <c r="H360" s="84"/>
      <c r="I360" s="84"/>
      <c r="J360" s="84"/>
      <c r="K360" s="84"/>
      <c r="L360" s="92"/>
      <c r="M360" s="84"/>
      <c r="N360" s="84"/>
      <c r="O360" s="84"/>
      <c r="P360" s="84"/>
      <c r="Q360" s="84"/>
      <c r="R360" s="85"/>
      <c r="S360" s="86"/>
      <c r="T360" s="86"/>
      <c r="U360" s="86"/>
      <c r="V360" s="86"/>
      <c r="W360" s="86"/>
    </row>
    <row r="361" spans="1:23" ht="21">
      <c r="A361" s="25" t="s">
        <v>260</v>
      </c>
      <c r="B361" s="83"/>
      <c r="C361" s="84">
        <v>93</v>
      </c>
      <c r="D361" s="84">
        <v>106</v>
      </c>
      <c r="E361" s="84">
        <f>SUM(C361:D361)</f>
        <v>199</v>
      </c>
      <c r="F361" s="84">
        <v>10</v>
      </c>
      <c r="G361" s="84">
        <v>10</v>
      </c>
      <c r="H361" s="84">
        <v>13</v>
      </c>
      <c r="I361" s="84">
        <v>7</v>
      </c>
      <c r="J361" s="84">
        <v>9</v>
      </c>
      <c r="K361" s="84">
        <v>18</v>
      </c>
      <c r="L361" s="84">
        <v>0</v>
      </c>
      <c r="M361" s="84">
        <v>0</v>
      </c>
      <c r="N361" s="84">
        <f t="shared" si="8"/>
        <v>32</v>
      </c>
      <c r="O361" s="84">
        <f t="shared" si="8"/>
        <v>35</v>
      </c>
      <c r="P361" s="84">
        <v>125</v>
      </c>
      <c r="Q361" s="84">
        <v>141</v>
      </c>
      <c r="R361" s="85"/>
      <c r="S361" s="86"/>
      <c r="T361" s="86"/>
      <c r="U361" s="86"/>
      <c r="V361" s="86"/>
      <c r="W361" s="86"/>
    </row>
    <row r="362" spans="1:23" ht="21">
      <c r="A362" s="25" t="s">
        <v>296</v>
      </c>
      <c r="B362" s="83"/>
      <c r="C362" s="84">
        <v>34</v>
      </c>
      <c r="D362" s="84">
        <v>36</v>
      </c>
      <c r="E362" s="84">
        <f>SUM(C362:D362)</f>
        <v>70</v>
      </c>
      <c r="F362" s="84">
        <v>10</v>
      </c>
      <c r="G362" s="84">
        <v>10</v>
      </c>
      <c r="H362" s="84">
        <v>4</v>
      </c>
      <c r="I362" s="84">
        <v>8</v>
      </c>
      <c r="J362" s="84">
        <v>6</v>
      </c>
      <c r="K362" s="84">
        <v>7</v>
      </c>
      <c r="L362" s="84">
        <v>0</v>
      </c>
      <c r="M362" s="84">
        <v>0</v>
      </c>
      <c r="N362" s="84">
        <f t="shared" si="8"/>
        <v>20</v>
      </c>
      <c r="O362" s="84">
        <f t="shared" si="8"/>
        <v>25</v>
      </c>
      <c r="P362" s="84">
        <v>54</v>
      </c>
      <c r="Q362" s="84">
        <v>61</v>
      </c>
      <c r="R362" s="85"/>
      <c r="S362" s="86"/>
      <c r="T362" s="86"/>
      <c r="U362" s="86"/>
      <c r="V362" s="86"/>
      <c r="W362" s="86"/>
    </row>
    <row r="363" spans="1:23" ht="21">
      <c r="A363" s="25" t="s">
        <v>297</v>
      </c>
      <c r="B363" s="83"/>
      <c r="C363" s="84"/>
      <c r="D363" s="84"/>
      <c r="E363" s="84">
        <f>SUM(C363:D363)</f>
        <v>0</v>
      </c>
      <c r="F363" s="84"/>
      <c r="G363" s="84"/>
      <c r="H363" s="84"/>
      <c r="I363" s="84"/>
      <c r="J363" s="84"/>
      <c r="K363" s="84"/>
      <c r="L363" s="84"/>
      <c r="M363" s="84"/>
      <c r="N363" s="84">
        <f t="shared" si="8"/>
        <v>0</v>
      </c>
      <c r="O363" s="84">
        <f t="shared" si="8"/>
        <v>0</v>
      </c>
      <c r="P363" s="84"/>
      <c r="Q363" s="84"/>
      <c r="R363" s="85"/>
      <c r="S363" s="86"/>
      <c r="T363" s="86"/>
      <c r="U363" s="86"/>
      <c r="V363" s="86"/>
      <c r="W363" s="86"/>
    </row>
    <row r="364" spans="1:23" ht="21">
      <c r="A364" s="25" t="s">
        <v>273</v>
      </c>
      <c r="B364" s="83"/>
      <c r="C364" s="84">
        <v>25</v>
      </c>
      <c r="D364" s="84">
        <v>35</v>
      </c>
      <c r="E364" s="84">
        <f>SUM(C364:D364)</f>
        <v>60</v>
      </c>
      <c r="F364" s="84"/>
      <c r="G364" s="84"/>
      <c r="H364" s="84"/>
      <c r="I364" s="84"/>
      <c r="J364" s="84"/>
      <c r="K364" s="84"/>
      <c r="L364" s="84"/>
      <c r="M364" s="84"/>
      <c r="N364" s="84">
        <f t="shared" si="8"/>
        <v>0</v>
      </c>
      <c r="O364" s="84">
        <f t="shared" si="8"/>
        <v>0</v>
      </c>
      <c r="P364" s="84">
        <v>25</v>
      </c>
      <c r="Q364" s="84">
        <v>35</v>
      </c>
      <c r="R364" s="85"/>
      <c r="S364" s="86"/>
      <c r="T364" s="86"/>
      <c r="U364" s="86"/>
      <c r="V364" s="86"/>
      <c r="W364" s="86"/>
    </row>
    <row r="365" spans="1:23" ht="21">
      <c r="A365" s="21" t="s">
        <v>298</v>
      </c>
      <c r="B365" s="83">
        <v>300</v>
      </c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5"/>
      <c r="S365" s="86"/>
      <c r="T365" s="86"/>
      <c r="U365" s="86"/>
      <c r="V365" s="86"/>
      <c r="W365" s="86"/>
    </row>
    <row r="366" spans="1:23" ht="21">
      <c r="A366" s="21" t="s">
        <v>299</v>
      </c>
      <c r="B366" s="83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>
        <f t="shared" si="8"/>
        <v>0</v>
      </c>
      <c r="O366" s="84">
        <f t="shared" si="8"/>
        <v>0</v>
      </c>
      <c r="P366" s="84"/>
      <c r="Q366" s="84"/>
      <c r="R366" s="85"/>
      <c r="S366" s="86"/>
      <c r="T366" s="86"/>
      <c r="U366" s="86"/>
      <c r="V366" s="86"/>
      <c r="W366" s="86"/>
    </row>
    <row r="367" spans="1:23" ht="21">
      <c r="A367" s="25" t="s">
        <v>300</v>
      </c>
      <c r="B367" s="109"/>
      <c r="C367" s="103">
        <v>259</v>
      </c>
      <c r="D367" s="103">
        <v>248</v>
      </c>
      <c r="E367" s="103">
        <f>SUM(C367:D367)</f>
        <v>507</v>
      </c>
      <c r="F367" s="103">
        <v>23</v>
      </c>
      <c r="G367" s="103">
        <v>15</v>
      </c>
      <c r="H367" s="103">
        <v>25</v>
      </c>
      <c r="I367" s="103">
        <v>27</v>
      </c>
      <c r="J367" s="103">
        <v>19</v>
      </c>
      <c r="K367" s="103">
        <v>25</v>
      </c>
      <c r="L367" s="103">
        <v>14</v>
      </c>
      <c r="M367" s="103">
        <v>16</v>
      </c>
      <c r="N367" s="84">
        <f t="shared" si="8"/>
        <v>81</v>
      </c>
      <c r="O367" s="84">
        <f t="shared" si="8"/>
        <v>83</v>
      </c>
      <c r="P367" s="103">
        <v>340</v>
      </c>
      <c r="Q367" s="103">
        <v>331</v>
      </c>
      <c r="R367" s="104"/>
      <c r="S367" s="105"/>
      <c r="T367" s="105"/>
      <c r="U367" s="105"/>
      <c r="V367" s="105"/>
      <c r="W367" s="105"/>
    </row>
    <row r="368" spans="1:23" ht="21">
      <c r="A368" s="25" t="s">
        <v>301</v>
      </c>
      <c r="B368" s="109"/>
      <c r="C368" s="103">
        <v>322</v>
      </c>
      <c r="D368" s="103">
        <v>269</v>
      </c>
      <c r="E368" s="103">
        <f>SUM(C368:D368)</f>
        <v>591</v>
      </c>
      <c r="F368" s="103">
        <v>25</v>
      </c>
      <c r="G368" s="103">
        <v>22</v>
      </c>
      <c r="H368" s="103">
        <v>47</v>
      </c>
      <c r="I368" s="103">
        <v>38</v>
      </c>
      <c r="J368" s="103">
        <v>16</v>
      </c>
      <c r="K368" s="103">
        <v>12</v>
      </c>
      <c r="L368" s="103">
        <v>16</v>
      </c>
      <c r="M368" s="103">
        <v>11</v>
      </c>
      <c r="N368" s="84">
        <f t="shared" si="8"/>
        <v>104</v>
      </c>
      <c r="O368" s="84">
        <f t="shared" si="8"/>
        <v>83</v>
      </c>
      <c r="P368" s="103">
        <v>426</v>
      </c>
      <c r="Q368" s="103">
        <v>352</v>
      </c>
      <c r="R368" s="104"/>
      <c r="S368" s="105"/>
      <c r="T368" s="105"/>
      <c r="U368" s="105"/>
      <c r="V368" s="105"/>
      <c r="W368" s="105"/>
    </row>
    <row r="369" spans="1:23" ht="21">
      <c r="A369" s="90" t="s">
        <v>280</v>
      </c>
      <c r="B369" s="109"/>
      <c r="C369" s="103">
        <v>210</v>
      </c>
      <c r="D369" s="103">
        <v>197</v>
      </c>
      <c r="E369" s="103">
        <f>SUM(C369:D369)</f>
        <v>407</v>
      </c>
      <c r="F369" s="103">
        <v>25</v>
      </c>
      <c r="G369" s="103">
        <v>16</v>
      </c>
      <c r="H369" s="103">
        <v>14</v>
      </c>
      <c r="I369" s="103">
        <v>21</v>
      </c>
      <c r="J369" s="103">
        <v>12</v>
      </c>
      <c r="K369" s="103">
        <v>21</v>
      </c>
      <c r="L369" s="103">
        <v>8</v>
      </c>
      <c r="M369" s="103">
        <v>8</v>
      </c>
      <c r="N369" s="84">
        <f t="shared" si="8"/>
        <v>59</v>
      </c>
      <c r="O369" s="84">
        <f t="shared" si="8"/>
        <v>66</v>
      </c>
      <c r="P369" s="103">
        <v>269</v>
      </c>
      <c r="Q369" s="103">
        <v>263</v>
      </c>
      <c r="R369" s="104"/>
      <c r="S369" s="105"/>
      <c r="T369" s="105"/>
      <c r="U369" s="105"/>
      <c r="V369" s="105"/>
      <c r="W369" s="105"/>
    </row>
    <row r="370" spans="1:23" ht="21">
      <c r="A370" s="110" t="s">
        <v>146</v>
      </c>
      <c r="B370" s="109">
        <v>300</v>
      </c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84"/>
      <c r="O370" s="84"/>
      <c r="P370" s="103"/>
      <c r="Q370" s="103"/>
      <c r="R370" s="104"/>
      <c r="S370" s="105"/>
      <c r="T370" s="105"/>
      <c r="U370" s="105"/>
      <c r="V370" s="105"/>
      <c r="W370" s="105"/>
    </row>
    <row r="371" spans="1:23" ht="21">
      <c r="A371" s="105" t="s">
        <v>302</v>
      </c>
      <c r="B371" s="109"/>
      <c r="C371" s="103">
        <v>68</v>
      </c>
      <c r="D371" s="103">
        <v>42</v>
      </c>
      <c r="E371" s="103">
        <f>SUM(C371:D371)</f>
        <v>110</v>
      </c>
      <c r="F371" s="103">
        <v>7</v>
      </c>
      <c r="G371" s="103">
        <v>5</v>
      </c>
      <c r="H371" s="103">
        <v>10</v>
      </c>
      <c r="I371" s="103">
        <v>11</v>
      </c>
      <c r="J371" s="103">
        <v>12</v>
      </c>
      <c r="K371" s="103">
        <v>3</v>
      </c>
      <c r="L371" s="103">
        <v>5</v>
      </c>
      <c r="M371" s="103">
        <v>2</v>
      </c>
      <c r="N371" s="84">
        <f t="shared" si="8"/>
        <v>34</v>
      </c>
      <c r="O371" s="84">
        <f t="shared" si="8"/>
        <v>21</v>
      </c>
      <c r="P371" s="103"/>
      <c r="Q371" s="103"/>
      <c r="R371" s="104"/>
      <c r="S371" s="105"/>
      <c r="T371" s="105"/>
      <c r="U371" s="105"/>
      <c r="V371" s="105"/>
      <c r="W371" s="105"/>
    </row>
    <row r="372" spans="1:23" ht="21">
      <c r="A372" s="105" t="s">
        <v>303</v>
      </c>
      <c r="B372" s="109"/>
      <c r="C372" s="103">
        <v>13</v>
      </c>
      <c r="D372" s="103">
        <v>18</v>
      </c>
      <c r="E372" s="103">
        <f>SUM(C372:D372)</f>
        <v>31</v>
      </c>
      <c r="F372" s="103"/>
      <c r="G372" s="103"/>
      <c r="H372" s="103"/>
      <c r="I372" s="103"/>
      <c r="J372" s="103"/>
      <c r="K372" s="103"/>
      <c r="L372" s="103"/>
      <c r="M372" s="103"/>
      <c r="N372" s="84"/>
      <c r="O372" s="84"/>
      <c r="P372" s="103"/>
      <c r="Q372" s="103"/>
      <c r="R372" s="104"/>
      <c r="S372" s="105"/>
      <c r="T372" s="105"/>
      <c r="U372" s="105"/>
      <c r="V372" s="105"/>
      <c r="W372" s="105"/>
    </row>
    <row r="373" spans="1:23" ht="21">
      <c r="A373" s="105" t="s">
        <v>304</v>
      </c>
      <c r="B373" s="109"/>
      <c r="C373" s="103">
        <v>66</v>
      </c>
      <c r="D373" s="103">
        <v>100</v>
      </c>
      <c r="E373" s="103">
        <f>SUM(C373:D373)</f>
        <v>166</v>
      </c>
      <c r="F373" s="103">
        <v>5</v>
      </c>
      <c r="G373" s="103">
        <v>15</v>
      </c>
      <c r="H373" s="103">
        <v>20</v>
      </c>
      <c r="I373" s="103">
        <v>25</v>
      </c>
      <c r="J373" s="103">
        <v>8</v>
      </c>
      <c r="K373" s="103">
        <v>10</v>
      </c>
      <c r="L373" s="103">
        <v>0</v>
      </c>
      <c r="M373" s="103">
        <v>0</v>
      </c>
      <c r="N373" s="84">
        <f t="shared" si="8"/>
        <v>33</v>
      </c>
      <c r="O373" s="84">
        <f t="shared" si="8"/>
        <v>50</v>
      </c>
      <c r="P373" s="103"/>
      <c r="Q373" s="103"/>
      <c r="R373" s="104"/>
      <c r="S373" s="105"/>
      <c r="T373" s="105"/>
      <c r="U373" s="105"/>
      <c r="V373" s="105"/>
      <c r="W373" s="105"/>
    </row>
    <row r="374" spans="1:23" ht="21">
      <c r="A374" s="110" t="s">
        <v>148</v>
      </c>
      <c r="B374" s="109">
        <v>300</v>
      </c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84"/>
      <c r="O374" s="84"/>
      <c r="P374" s="103"/>
      <c r="Q374" s="103"/>
      <c r="R374" s="104"/>
      <c r="S374" s="105"/>
      <c r="T374" s="105"/>
      <c r="U374" s="105"/>
      <c r="V374" s="105"/>
      <c r="W374" s="105"/>
    </row>
    <row r="375" spans="1:23" ht="21">
      <c r="A375" s="105" t="s">
        <v>302</v>
      </c>
      <c r="B375" s="109"/>
      <c r="C375" s="103">
        <v>182</v>
      </c>
      <c r="D375" s="103">
        <v>223</v>
      </c>
      <c r="E375" s="103">
        <f>SUM(C375:D375)</f>
        <v>405</v>
      </c>
      <c r="F375" s="103">
        <v>21</v>
      </c>
      <c r="G375" s="103">
        <v>18</v>
      </c>
      <c r="H375" s="103">
        <v>26</v>
      </c>
      <c r="I375" s="103">
        <v>21</v>
      </c>
      <c r="J375" s="103">
        <v>10</v>
      </c>
      <c r="K375" s="103">
        <v>13</v>
      </c>
      <c r="L375" s="103">
        <v>0</v>
      </c>
      <c r="M375" s="103">
        <v>0</v>
      </c>
      <c r="N375" s="84">
        <f aca="true" t="shared" si="9" ref="N375:O436">F375+H375+J375+L375</f>
        <v>57</v>
      </c>
      <c r="O375" s="84">
        <f t="shared" si="9"/>
        <v>52</v>
      </c>
      <c r="P375" s="103">
        <v>239</v>
      </c>
      <c r="Q375" s="103">
        <v>275</v>
      </c>
      <c r="R375" s="104"/>
      <c r="S375" s="105"/>
      <c r="T375" s="105"/>
      <c r="U375" s="105"/>
      <c r="V375" s="105"/>
      <c r="W375" s="105"/>
    </row>
    <row r="376" spans="1:23" ht="21">
      <c r="A376" s="105" t="s">
        <v>303</v>
      </c>
      <c r="B376" s="109"/>
      <c r="C376" s="103">
        <v>37</v>
      </c>
      <c r="D376" s="103">
        <v>67</v>
      </c>
      <c r="E376" s="103">
        <f>SUM(C376:D376)</f>
        <v>104</v>
      </c>
      <c r="F376" s="103"/>
      <c r="G376" s="103"/>
      <c r="H376" s="103"/>
      <c r="I376" s="103"/>
      <c r="J376" s="103"/>
      <c r="K376" s="103"/>
      <c r="L376" s="103"/>
      <c r="M376" s="103"/>
      <c r="N376" s="84">
        <f t="shared" si="9"/>
        <v>0</v>
      </c>
      <c r="O376" s="84">
        <f t="shared" si="9"/>
        <v>0</v>
      </c>
      <c r="P376" s="103"/>
      <c r="Q376" s="103"/>
      <c r="R376" s="104"/>
      <c r="S376" s="105"/>
      <c r="T376" s="105"/>
      <c r="U376" s="105"/>
      <c r="V376" s="105"/>
      <c r="W376" s="105"/>
    </row>
    <row r="377" spans="1:23" ht="21">
      <c r="A377" s="105" t="s">
        <v>304</v>
      </c>
      <c r="B377" s="109"/>
      <c r="C377" s="103">
        <v>153</v>
      </c>
      <c r="D377" s="103">
        <v>149</v>
      </c>
      <c r="E377" s="103">
        <f>SUM(C377:D377)</f>
        <v>302</v>
      </c>
      <c r="F377" s="103">
        <v>12</v>
      </c>
      <c r="G377" s="103">
        <v>19</v>
      </c>
      <c r="H377" s="103">
        <v>22</v>
      </c>
      <c r="I377" s="103">
        <v>20</v>
      </c>
      <c r="J377" s="103">
        <v>15</v>
      </c>
      <c r="K377" s="103">
        <v>23</v>
      </c>
      <c r="L377" s="103">
        <v>0</v>
      </c>
      <c r="M377" s="103">
        <v>0</v>
      </c>
      <c r="N377" s="84">
        <f t="shared" si="9"/>
        <v>49</v>
      </c>
      <c r="O377" s="84">
        <f t="shared" si="9"/>
        <v>62</v>
      </c>
      <c r="P377" s="103">
        <v>202</v>
      </c>
      <c r="Q377" s="103">
        <v>211</v>
      </c>
      <c r="R377" s="104"/>
      <c r="S377" s="105"/>
      <c r="T377" s="105"/>
      <c r="U377" s="105"/>
      <c r="V377" s="105"/>
      <c r="W377" s="105"/>
    </row>
    <row r="378" spans="1:23" ht="21">
      <c r="A378" s="105"/>
      <c r="B378" s="109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84"/>
      <c r="O378" s="84"/>
      <c r="P378" s="103"/>
      <c r="Q378" s="103"/>
      <c r="R378" s="104"/>
      <c r="S378" s="105"/>
      <c r="T378" s="105"/>
      <c r="U378" s="105"/>
      <c r="V378" s="105"/>
      <c r="W378" s="105"/>
    </row>
    <row r="379" spans="1:23" ht="21">
      <c r="A379" s="110" t="s">
        <v>75</v>
      </c>
      <c r="B379" s="83"/>
      <c r="C379" s="84"/>
      <c r="D379" s="84"/>
      <c r="E379" s="84"/>
      <c r="F379" s="92"/>
      <c r="G379" s="84"/>
      <c r="H379" s="84"/>
      <c r="I379" s="84"/>
      <c r="J379" s="84"/>
      <c r="K379" s="84"/>
      <c r="L379" s="84"/>
      <c r="M379" s="92"/>
      <c r="N379" s="84"/>
      <c r="O379" s="84"/>
      <c r="P379" s="84"/>
      <c r="Q379" s="84"/>
      <c r="R379" s="85"/>
      <c r="S379" s="86"/>
      <c r="T379" s="86"/>
      <c r="U379" s="86"/>
      <c r="V379" s="86"/>
      <c r="W379" s="86"/>
    </row>
    <row r="380" spans="1:23" ht="21">
      <c r="A380" s="91" t="s">
        <v>104</v>
      </c>
      <c r="B380" s="111">
        <v>2586</v>
      </c>
      <c r="C380" s="84"/>
      <c r="D380" s="84"/>
      <c r="E380" s="84"/>
      <c r="F380" s="95"/>
      <c r="G380" s="95"/>
      <c r="H380" s="95"/>
      <c r="I380" s="95"/>
      <c r="J380" s="95"/>
      <c r="K380" s="95"/>
      <c r="L380" s="95"/>
      <c r="M380" s="95"/>
      <c r="N380" s="84"/>
      <c r="O380" s="84"/>
      <c r="P380" s="95"/>
      <c r="Q380" s="95"/>
      <c r="R380" s="85"/>
      <c r="S380" s="86"/>
      <c r="T380" s="86"/>
      <c r="U380" s="86"/>
      <c r="V380" s="86"/>
      <c r="W380" s="86"/>
    </row>
    <row r="381" spans="1:23" ht="21">
      <c r="A381" s="90" t="s">
        <v>305</v>
      </c>
      <c r="B381" s="83">
        <v>830</v>
      </c>
      <c r="C381" s="84">
        <v>315</v>
      </c>
      <c r="D381" s="84">
        <v>270</v>
      </c>
      <c r="E381" s="84">
        <f>SUM(C381:D381)</f>
        <v>585</v>
      </c>
      <c r="F381" s="84">
        <v>12</v>
      </c>
      <c r="G381" s="84">
        <v>11</v>
      </c>
      <c r="H381" s="84">
        <v>16</v>
      </c>
      <c r="I381" s="84">
        <v>14</v>
      </c>
      <c r="J381" s="84">
        <v>36</v>
      </c>
      <c r="K381" s="84">
        <v>27</v>
      </c>
      <c r="L381" s="84">
        <v>14</v>
      </c>
      <c r="M381" s="84">
        <v>19</v>
      </c>
      <c r="N381" s="84">
        <f t="shared" si="9"/>
        <v>78</v>
      </c>
      <c r="O381" s="84">
        <f t="shared" si="9"/>
        <v>71</v>
      </c>
      <c r="P381" s="84"/>
      <c r="Q381" s="84"/>
      <c r="R381" s="85">
        <v>0.5446</v>
      </c>
      <c r="S381" s="86"/>
      <c r="T381" s="86"/>
      <c r="U381" s="86"/>
      <c r="V381" s="86"/>
      <c r="W381" s="86"/>
    </row>
    <row r="382" spans="1:23" ht="21">
      <c r="A382" s="90" t="s">
        <v>306</v>
      </c>
      <c r="B382" s="109">
        <v>340</v>
      </c>
      <c r="C382" s="103">
        <v>261</v>
      </c>
      <c r="D382" s="103">
        <v>267</v>
      </c>
      <c r="E382" s="84">
        <f>SUM(C382:D382)</f>
        <v>528</v>
      </c>
      <c r="F382" s="103">
        <v>11</v>
      </c>
      <c r="G382" s="103">
        <v>9</v>
      </c>
      <c r="H382" s="103">
        <v>17</v>
      </c>
      <c r="I382" s="103">
        <v>15</v>
      </c>
      <c r="J382" s="103">
        <v>18</v>
      </c>
      <c r="K382" s="103">
        <v>18</v>
      </c>
      <c r="L382" s="103">
        <v>17</v>
      </c>
      <c r="M382" s="103">
        <v>19</v>
      </c>
      <c r="N382" s="84">
        <f t="shared" si="9"/>
        <v>63</v>
      </c>
      <c r="O382" s="84">
        <f t="shared" si="9"/>
        <v>61</v>
      </c>
      <c r="P382" s="103"/>
      <c r="Q382" s="103"/>
      <c r="R382" s="104">
        <v>1.2235</v>
      </c>
      <c r="S382" s="105"/>
      <c r="T382" s="105"/>
      <c r="U382" s="105"/>
      <c r="V382" s="105"/>
      <c r="W382" s="105"/>
    </row>
    <row r="383" spans="1:23" ht="21">
      <c r="A383" s="90" t="s">
        <v>307</v>
      </c>
      <c r="B383" s="109">
        <v>491</v>
      </c>
      <c r="C383" s="103">
        <v>256</v>
      </c>
      <c r="D383" s="103">
        <v>253</v>
      </c>
      <c r="E383" s="84">
        <f>SUM(C383:D383)</f>
        <v>509</v>
      </c>
      <c r="F383" s="103">
        <v>9</v>
      </c>
      <c r="G383" s="103">
        <v>8</v>
      </c>
      <c r="H383" s="103">
        <v>17</v>
      </c>
      <c r="I383" s="103">
        <v>16</v>
      </c>
      <c r="J383" s="103">
        <v>18</v>
      </c>
      <c r="K383" s="103">
        <v>17</v>
      </c>
      <c r="L383" s="103">
        <v>19</v>
      </c>
      <c r="M383" s="103">
        <v>18</v>
      </c>
      <c r="N383" s="84">
        <f t="shared" si="9"/>
        <v>63</v>
      </c>
      <c r="O383" s="84">
        <f t="shared" si="9"/>
        <v>59</v>
      </c>
      <c r="P383" s="103"/>
      <c r="Q383" s="103"/>
      <c r="R383" s="104">
        <v>0.8004</v>
      </c>
      <c r="S383" s="105"/>
      <c r="T383" s="105"/>
      <c r="U383" s="105"/>
      <c r="V383" s="105"/>
      <c r="W383" s="105"/>
    </row>
    <row r="384" spans="1:23" ht="21">
      <c r="A384" s="90" t="s">
        <v>308</v>
      </c>
      <c r="B384" s="112">
        <v>425</v>
      </c>
      <c r="C384" s="103">
        <v>277</v>
      </c>
      <c r="D384" s="103">
        <v>259</v>
      </c>
      <c r="E384" s="84">
        <f>SUM(C384:D384)</f>
        <v>536</v>
      </c>
      <c r="F384" s="103">
        <v>9</v>
      </c>
      <c r="G384" s="103">
        <v>8</v>
      </c>
      <c r="H384" s="103">
        <v>17</v>
      </c>
      <c r="I384" s="103">
        <v>16</v>
      </c>
      <c r="J384" s="103">
        <v>18</v>
      </c>
      <c r="K384" s="103">
        <v>19</v>
      </c>
      <c r="L384" s="103">
        <v>17</v>
      </c>
      <c r="M384" s="103">
        <v>18</v>
      </c>
      <c r="N384" s="84">
        <f t="shared" si="9"/>
        <v>61</v>
      </c>
      <c r="O384" s="84">
        <f t="shared" si="9"/>
        <v>61</v>
      </c>
      <c r="P384" s="103"/>
      <c r="Q384" s="103"/>
      <c r="R384" s="104">
        <v>0.9812</v>
      </c>
      <c r="S384" s="105"/>
      <c r="T384" s="105"/>
      <c r="U384" s="105"/>
      <c r="V384" s="105"/>
      <c r="W384" s="105"/>
    </row>
    <row r="385" spans="1:23" ht="21">
      <c r="A385" s="21" t="s">
        <v>108</v>
      </c>
      <c r="B385" s="83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5"/>
      <c r="S385" s="86"/>
      <c r="T385" s="86"/>
      <c r="U385" s="86"/>
      <c r="V385" s="86"/>
      <c r="W385" s="86"/>
    </row>
    <row r="386" spans="1:23" ht="21">
      <c r="A386" s="25" t="s">
        <v>309</v>
      </c>
      <c r="B386" s="83">
        <v>718</v>
      </c>
      <c r="C386" s="84">
        <v>495</v>
      </c>
      <c r="D386" s="84">
        <v>441</v>
      </c>
      <c r="E386" s="84">
        <f>SUM(C386:D386)</f>
        <v>936</v>
      </c>
      <c r="F386" s="84">
        <v>24</v>
      </c>
      <c r="G386" s="84">
        <v>32</v>
      </c>
      <c r="H386" s="84">
        <v>64</v>
      </c>
      <c r="I386" s="84">
        <v>52</v>
      </c>
      <c r="J386" s="84">
        <v>80</v>
      </c>
      <c r="K386" s="84">
        <v>72</v>
      </c>
      <c r="L386" s="84">
        <v>52</v>
      </c>
      <c r="M386" s="84">
        <v>40</v>
      </c>
      <c r="N386" s="84">
        <f t="shared" si="9"/>
        <v>220</v>
      </c>
      <c r="O386" s="84">
        <f t="shared" si="9"/>
        <v>196</v>
      </c>
      <c r="P386" s="84">
        <v>715</v>
      </c>
      <c r="Q386" s="84">
        <v>637</v>
      </c>
      <c r="R386" s="85" t="s">
        <v>310</v>
      </c>
      <c r="S386" s="86"/>
      <c r="T386" s="86"/>
      <c r="U386" s="86"/>
      <c r="V386" s="86"/>
      <c r="W386" s="86"/>
    </row>
    <row r="387" spans="1:23" ht="21">
      <c r="A387" s="25" t="s">
        <v>311</v>
      </c>
      <c r="B387" s="111">
        <v>546</v>
      </c>
      <c r="C387" s="84">
        <v>351</v>
      </c>
      <c r="D387" s="84">
        <v>387</v>
      </c>
      <c r="E387" s="84">
        <f>SUM(C387:D387)</f>
        <v>738</v>
      </c>
      <c r="F387" s="84">
        <v>18</v>
      </c>
      <c r="G387" s="84">
        <v>20</v>
      </c>
      <c r="H387" s="84">
        <v>50</v>
      </c>
      <c r="I387" s="84">
        <v>56</v>
      </c>
      <c r="J387" s="84">
        <v>56</v>
      </c>
      <c r="K387" s="84">
        <v>72</v>
      </c>
      <c r="L387" s="84">
        <v>40</v>
      </c>
      <c r="M387" s="84">
        <v>24</v>
      </c>
      <c r="N387" s="84">
        <f t="shared" si="9"/>
        <v>164</v>
      </c>
      <c r="O387" s="84">
        <f t="shared" si="9"/>
        <v>172</v>
      </c>
      <c r="P387" s="84">
        <v>515</v>
      </c>
      <c r="Q387" s="84">
        <v>559</v>
      </c>
      <c r="R387" s="85" t="s">
        <v>310</v>
      </c>
      <c r="S387" s="86"/>
      <c r="T387" s="86"/>
      <c r="U387" s="86"/>
      <c r="V387" s="86"/>
      <c r="W387" s="86"/>
    </row>
    <row r="388" spans="1:23" ht="21">
      <c r="A388" s="25" t="s">
        <v>312</v>
      </c>
      <c r="B388" s="83">
        <v>778</v>
      </c>
      <c r="C388" s="84">
        <v>396</v>
      </c>
      <c r="D388" s="84">
        <v>342</v>
      </c>
      <c r="E388" s="84">
        <f>SUM(C388:D388)</f>
        <v>738</v>
      </c>
      <c r="F388" s="84">
        <v>20</v>
      </c>
      <c r="G388" s="84">
        <v>24</v>
      </c>
      <c r="H388" s="84">
        <v>56</v>
      </c>
      <c r="I388" s="84">
        <v>48</v>
      </c>
      <c r="J388" s="84">
        <v>64</v>
      </c>
      <c r="K388" s="84">
        <v>56</v>
      </c>
      <c r="L388" s="84">
        <v>36</v>
      </c>
      <c r="M388" s="84">
        <v>24</v>
      </c>
      <c r="N388" s="84">
        <f t="shared" si="9"/>
        <v>176</v>
      </c>
      <c r="O388" s="84">
        <f t="shared" si="9"/>
        <v>152</v>
      </c>
      <c r="P388" s="84">
        <v>572</v>
      </c>
      <c r="Q388" s="84">
        <v>494</v>
      </c>
      <c r="R388" s="85" t="s">
        <v>310</v>
      </c>
      <c r="S388" s="86"/>
      <c r="T388" s="86"/>
      <c r="U388" s="86"/>
      <c r="V388" s="86"/>
      <c r="W388" s="86"/>
    </row>
    <row r="389" spans="1:23" ht="21">
      <c r="A389" s="21" t="s">
        <v>113</v>
      </c>
      <c r="B389" s="83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5"/>
      <c r="S389" s="86"/>
      <c r="T389" s="86"/>
      <c r="U389" s="86"/>
      <c r="V389" s="86"/>
      <c r="W389" s="86"/>
    </row>
    <row r="390" spans="1:23" ht="21">
      <c r="A390" s="25" t="s">
        <v>313</v>
      </c>
      <c r="B390" s="111">
        <v>1147</v>
      </c>
      <c r="C390" s="84">
        <v>573</v>
      </c>
      <c r="D390" s="84">
        <v>532</v>
      </c>
      <c r="E390" s="84">
        <f>SUM(C390:D390)</f>
        <v>1105</v>
      </c>
      <c r="F390" s="84"/>
      <c r="G390" s="84"/>
      <c r="H390" s="84"/>
      <c r="I390" s="84"/>
      <c r="J390" s="84"/>
      <c r="K390" s="84"/>
      <c r="L390" s="84"/>
      <c r="M390" s="84"/>
      <c r="N390" s="84">
        <f t="shared" si="9"/>
        <v>0</v>
      </c>
      <c r="O390" s="84">
        <f t="shared" si="9"/>
        <v>0</v>
      </c>
      <c r="P390" s="84">
        <v>573</v>
      </c>
      <c r="Q390" s="84">
        <v>532</v>
      </c>
      <c r="R390" s="85">
        <v>0.9634</v>
      </c>
      <c r="S390" s="86"/>
      <c r="T390" s="86"/>
      <c r="U390" s="86"/>
      <c r="V390" s="86"/>
      <c r="W390" s="86"/>
    </row>
    <row r="391" spans="1:23" ht="21">
      <c r="A391" s="21" t="s">
        <v>117</v>
      </c>
      <c r="B391" s="83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5"/>
      <c r="S391" s="86"/>
      <c r="T391" s="86"/>
      <c r="U391" s="86"/>
      <c r="V391" s="86"/>
      <c r="W391" s="86"/>
    </row>
    <row r="392" spans="1:23" ht="21">
      <c r="A392" s="25" t="s">
        <v>314</v>
      </c>
      <c r="B392" s="83">
        <v>700</v>
      </c>
      <c r="C392" s="84">
        <v>30</v>
      </c>
      <c r="D392" s="84">
        <v>20</v>
      </c>
      <c r="E392" s="84">
        <f>SUM(C392:D392)</f>
        <v>50</v>
      </c>
      <c r="F392" s="84"/>
      <c r="G392" s="84"/>
      <c r="H392" s="84"/>
      <c r="I392" s="84"/>
      <c r="J392" s="92"/>
      <c r="K392" s="84"/>
      <c r="L392" s="92"/>
      <c r="M392" s="92"/>
      <c r="N392" s="84">
        <f t="shared" si="9"/>
        <v>0</v>
      </c>
      <c r="O392" s="84">
        <f t="shared" si="9"/>
        <v>0</v>
      </c>
      <c r="P392" s="84"/>
      <c r="Q392" s="84"/>
      <c r="R392" s="85">
        <v>0.0714</v>
      </c>
      <c r="S392" s="86"/>
      <c r="T392" s="86"/>
      <c r="U392" s="86"/>
      <c r="V392" s="86"/>
      <c r="W392" s="86"/>
    </row>
    <row r="393" spans="1:23" ht="21">
      <c r="A393" s="25" t="s">
        <v>315</v>
      </c>
      <c r="B393" s="83">
        <v>900</v>
      </c>
      <c r="C393" s="84">
        <v>45</v>
      </c>
      <c r="D393" s="84">
        <v>25</v>
      </c>
      <c r="E393" s="84">
        <f>SUM(C393:D393)</f>
        <v>70</v>
      </c>
      <c r="F393" s="84"/>
      <c r="G393" s="84"/>
      <c r="H393" s="84"/>
      <c r="I393" s="84"/>
      <c r="J393" s="84"/>
      <c r="K393" s="84"/>
      <c r="L393" s="84"/>
      <c r="M393" s="84"/>
      <c r="N393" s="84">
        <f t="shared" si="9"/>
        <v>0</v>
      </c>
      <c r="O393" s="84">
        <f t="shared" si="9"/>
        <v>0</v>
      </c>
      <c r="P393" s="84"/>
      <c r="Q393" s="84"/>
      <c r="R393" s="85">
        <v>0.0778</v>
      </c>
      <c r="S393" s="86"/>
      <c r="T393" s="86"/>
      <c r="U393" s="86"/>
      <c r="V393" s="86"/>
      <c r="W393" s="86"/>
    </row>
    <row r="394" spans="1:23" ht="21">
      <c r="A394" s="25" t="s">
        <v>316</v>
      </c>
      <c r="B394" s="83">
        <v>700</v>
      </c>
      <c r="C394" s="84">
        <v>25</v>
      </c>
      <c r="D394" s="84">
        <v>30</v>
      </c>
      <c r="E394" s="84">
        <f>SUM(C394:D394)</f>
        <v>55</v>
      </c>
      <c r="F394" s="84"/>
      <c r="G394" s="84"/>
      <c r="H394" s="84"/>
      <c r="I394" s="84"/>
      <c r="J394" s="84"/>
      <c r="K394" s="84"/>
      <c r="L394" s="84"/>
      <c r="M394" s="84"/>
      <c r="N394" s="84">
        <f t="shared" si="9"/>
        <v>0</v>
      </c>
      <c r="O394" s="84">
        <f t="shared" si="9"/>
        <v>0</v>
      </c>
      <c r="P394" s="84"/>
      <c r="Q394" s="84"/>
      <c r="R394" s="85">
        <v>0.0785</v>
      </c>
      <c r="S394" s="86"/>
      <c r="T394" s="86"/>
      <c r="U394" s="86"/>
      <c r="V394" s="86"/>
      <c r="W394" s="86"/>
    </row>
    <row r="395" spans="1:23" ht="21">
      <c r="A395" s="107" t="s">
        <v>122</v>
      </c>
      <c r="B395" s="83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5"/>
      <c r="S395" s="86"/>
      <c r="T395" s="86"/>
      <c r="U395" s="86"/>
      <c r="V395" s="86"/>
      <c r="W395" s="86"/>
    </row>
    <row r="396" spans="1:23" ht="21">
      <c r="A396" s="86" t="s">
        <v>317</v>
      </c>
      <c r="B396" s="83">
        <v>200</v>
      </c>
      <c r="C396" s="84">
        <v>261</v>
      </c>
      <c r="D396" s="84">
        <v>224</v>
      </c>
      <c r="E396" s="84">
        <f>SUM(C396:D396)</f>
        <v>485</v>
      </c>
      <c r="F396" s="92">
        <v>21</v>
      </c>
      <c r="G396" s="84">
        <v>18</v>
      </c>
      <c r="H396" s="84">
        <v>27</v>
      </c>
      <c r="I396" s="84">
        <v>19</v>
      </c>
      <c r="J396" s="84">
        <v>11</v>
      </c>
      <c r="K396" s="84">
        <v>8</v>
      </c>
      <c r="L396" s="84">
        <v>13</v>
      </c>
      <c r="M396" s="84">
        <v>8</v>
      </c>
      <c r="N396" s="84">
        <f t="shared" si="9"/>
        <v>72</v>
      </c>
      <c r="O396" s="84">
        <f t="shared" si="9"/>
        <v>53</v>
      </c>
      <c r="P396" s="84">
        <v>333</v>
      </c>
      <c r="Q396" s="84">
        <v>277</v>
      </c>
      <c r="R396" s="85"/>
      <c r="S396" s="86"/>
      <c r="T396" s="86"/>
      <c r="U396" s="86"/>
      <c r="V396" s="86"/>
      <c r="W396" s="86"/>
    </row>
    <row r="397" spans="1:23" ht="21">
      <c r="A397" s="86" t="s">
        <v>318</v>
      </c>
      <c r="B397" s="83">
        <v>400</v>
      </c>
      <c r="C397" s="84">
        <v>292</v>
      </c>
      <c r="D397" s="84">
        <v>304</v>
      </c>
      <c r="E397" s="84">
        <f>SUM(C397:D397)</f>
        <v>596</v>
      </c>
      <c r="F397" s="84">
        <v>18</v>
      </c>
      <c r="G397" s="84">
        <v>17</v>
      </c>
      <c r="H397" s="84">
        <v>25</v>
      </c>
      <c r="I397" s="84">
        <v>28</v>
      </c>
      <c r="J397" s="84">
        <v>19</v>
      </c>
      <c r="K397" s="84">
        <v>12</v>
      </c>
      <c r="L397" s="84">
        <v>16</v>
      </c>
      <c r="M397" s="84">
        <v>10</v>
      </c>
      <c r="N397" s="84">
        <f t="shared" si="9"/>
        <v>78</v>
      </c>
      <c r="O397" s="84">
        <f t="shared" si="9"/>
        <v>67</v>
      </c>
      <c r="P397" s="84">
        <v>370</v>
      </c>
      <c r="Q397" s="84">
        <v>371</v>
      </c>
      <c r="R397" s="85"/>
      <c r="S397" s="86"/>
      <c r="T397" s="86"/>
      <c r="U397" s="86"/>
      <c r="V397" s="86"/>
      <c r="W397" s="86"/>
    </row>
    <row r="398" spans="1:23" ht="21">
      <c r="A398" s="86" t="s">
        <v>319</v>
      </c>
      <c r="B398" s="83">
        <v>800</v>
      </c>
      <c r="C398" s="84">
        <v>264</v>
      </c>
      <c r="D398" s="84">
        <v>298</v>
      </c>
      <c r="E398" s="84">
        <f>SUM(C398:D398)</f>
        <v>562</v>
      </c>
      <c r="F398" s="84">
        <v>25</v>
      </c>
      <c r="G398" s="84">
        <v>27</v>
      </c>
      <c r="H398" s="84">
        <v>20</v>
      </c>
      <c r="I398" s="84">
        <v>27</v>
      </c>
      <c r="J398" s="92">
        <v>18</v>
      </c>
      <c r="K398" s="84">
        <v>20</v>
      </c>
      <c r="L398" s="92">
        <v>15</v>
      </c>
      <c r="M398" s="92">
        <v>18</v>
      </c>
      <c r="N398" s="84">
        <f t="shared" si="9"/>
        <v>78</v>
      </c>
      <c r="O398" s="84">
        <f t="shared" si="9"/>
        <v>92</v>
      </c>
      <c r="P398" s="84">
        <v>342</v>
      </c>
      <c r="Q398" s="84">
        <v>386</v>
      </c>
      <c r="R398" s="85"/>
      <c r="S398" s="86"/>
      <c r="T398" s="86"/>
      <c r="U398" s="86"/>
      <c r="V398" s="86"/>
      <c r="W398" s="86"/>
    </row>
    <row r="399" spans="1:23" ht="21">
      <c r="A399" s="21" t="s">
        <v>126</v>
      </c>
      <c r="B399" s="83"/>
      <c r="C399" s="84"/>
      <c r="D399" s="84"/>
      <c r="E399" s="84"/>
      <c r="F399" s="84"/>
      <c r="G399" s="84"/>
      <c r="H399" s="84"/>
      <c r="I399" s="84"/>
      <c r="J399" s="84"/>
      <c r="K399" s="84"/>
      <c r="L399" s="92"/>
      <c r="M399" s="92"/>
      <c r="N399" s="84"/>
      <c r="O399" s="84"/>
      <c r="P399" s="84"/>
      <c r="Q399" s="84"/>
      <c r="R399" s="85"/>
      <c r="S399" s="86"/>
      <c r="T399" s="86"/>
      <c r="U399" s="86"/>
      <c r="V399" s="86"/>
      <c r="W399" s="86"/>
    </row>
    <row r="400" spans="1:23" ht="21">
      <c r="A400" s="21" t="s">
        <v>320</v>
      </c>
      <c r="B400" s="83">
        <v>464</v>
      </c>
      <c r="C400" s="84">
        <v>791</v>
      </c>
      <c r="D400" s="84">
        <v>790</v>
      </c>
      <c r="E400" s="84">
        <f>SUM(C400:D400)</f>
        <v>1581</v>
      </c>
      <c r="F400" s="92">
        <v>20</v>
      </c>
      <c r="G400" s="84">
        <v>26</v>
      </c>
      <c r="H400" s="84">
        <v>31</v>
      </c>
      <c r="I400" s="84">
        <v>39</v>
      </c>
      <c r="J400" s="84">
        <v>40</v>
      </c>
      <c r="K400" s="84">
        <v>47</v>
      </c>
      <c r="L400" s="92">
        <v>35</v>
      </c>
      <c r="M400" s="92">
        <v>33</v>
      </c>
      <c r="N400" s="84">
        <f t="shared" si="9"/>
        <v>126</v>
      </c>
      <c r="O400" s="84">
        <f t="shared" si="9"/>
        <v>145</v>
      </c>
      <c r="P400" s="84">
        <v>917</v>
      </c>
      <c r="Q400" s="84">
        <v>935</v>
      </c>
      <c r="R400" s="85" t="s">
        <v>310</v>
      </c>
      <c r="S400" s="86"/>
      <c r="T400" s="86"/>
      <c r="U400" s="86"/>
      <c r="V400" s="86"/>
      <c r="W400" s="86"/>
    </row>
    <row r="401" spans="1:23" ht="21">
      <c r="A401" s="21" t="s">
        <v>321</v>
      </c>
      <c r="B401" s="83">
        <v>476</v>
      </c>
      <c r="C401" s="84">
        <v>723</v>
      </c>
      <c r="D401" s="84">
        <v>830</v>
      </c>
      <c r="E401" s="84">
        <f>SUM(C401:D401)</f>
        <v>1553</v>
      </c>
      <c r="F401" s="84">
        <v>29</v>
      </c>
      <c r="G401" s="84">
        <v>38</v>
      </c>
      <c r="H401" s="84">
        <v>41</v>
      </c>
      <c r="I401" s="84">
        <v>47</v>
      </c>
      <c r="J401" s="84">
        <v>35</v>
      </c>
      <c r="K401" s="84">
        <v>40</v>
      </c>
      <c r="L401" s="84">
        <v>32</v>
      </c>
      <c r="M401" s="84">
        <v>34</v>
      </c>
      <c r="N401" s="84">
        <f t="shared" si="9"/>
        <v>137</v>
      </c>
      <c r="O401" s="84">
        <f t="shared" si="9"/>
        <v>159</v>
      </c>
      <c r="P401" s="84">
        <v>860</v>
      </c>
      <c r="Q401" s="84">
        <v>989</v>
      </c>
      <c r="R401" s="85" t="s">
        <v>310</v>
      </c>
      <c r="S401" s="86"/>
      <c r="T401" s="86"/>
      <c r="U401" s="86"/>
      <c r="V401" s="86"/>
      <c r="W401" s="86"/>
    </row>
    <row r="402" spans="1:23" ht="21">
      <c r="A402" s="21" t="s">
        <v>322</v>
      </c>
      <c r="B402" s="83">
        <v>637</v>
      </c>
      <c r="C402" s="84">
        <v>684</v>
      </c>
      <c r="D402" s="84">
        <v>779</v>
      </c>
      <c r="E402" s="84">
        <f>SUM(C402:D402)</f>
        <v>1463</v>
      </c>
      <c r="F402" s="84">
        <v>24</v>
      </c>
      <c r="G402" s="84">
        <v>29</v>
      </c>
      <c r="H402" s="84">
        <v>33</v>
      </c>
      <c r="I402" s="84">
        <v>40</v>
      </c>
      <c r="J402" s="84">
        <v>34</v>
      </c>
      <c r="K402" s="84">
        <v>47</v>
      </c>
      <c r="L402" s="84">
        <v>26</v>
      </c>
      <c r="M402" s="84">
        <v>32</v>
      </c>
      <c r="N402" s="84">
        <f t="shared" si="9"/>
        <v>117</v>
      </c>
      <c r="O402" s="84">
        <f t="shared" si="9"/>
        <v>148</v>
      </c>
      <c r="P402" s="84">
        <v>801</v>
      </c>
      <c r="Q402" s="84">
        <v>927</v>
      </c>
      <c r="R402" s="85" t="s">
        <v>310</v>
      </c>
      <c r="S402" s="86"/>
      <c r="T402" s="86"/>
      <c r="U402" s="86"/>
      <c r="V402" s="86"/>
      <c r="W402" s="86"/>
    </row>
    <row r="403" spans="1:23" ht="21">
      <c r="A403" s="21" t="s">
        <v>323</v>
      </c>
      <c r="B403" s="83">
        <v>380</v>
      </c>
      <c r="C403" s="84">
        <v>666</v>
      </c>
      <c r="D403" s="84">
        <v>749</v>
      </c>
      <c r="E403" s="84">
        <f>SUM(C403:D403)</f>
        <v>1415</v>
      </c>
      <c r="F403" s="84">
        <v>26</v>
      </c>
      <c r="G403" s="84">
        <v>30</v>
      </c>
      <c r="H403" s="84">
        <v>34</v>
      </c>
      <c r="I403" s="84">
        <v>39</v>
      </c>
      <c r="J403" s="84">
        <v>41</v>
      </c>
      <c r="K403" s="84">
        <v>45</v>
      </c>
      <c r="L403" s="84">
        <v>28</v>
      </c>
      <c r="M403" s="84">
        <v>33</v>
      </c>
      <c r="N403" s="84">
        <f t="shared" si="9"/>
        <v>129</v>
      </c>
      <c r="O403" s="84">
        <f t="shared" si="9"/>
        <v>147</v>
      </c>
      <c r="P403" s="84">
        <v>792</v>
      </c>
      <c r="Q403" s="84">
        <v>896</v>
      </c>
      <c r="R403" s="85" t="s">
        <v>310</v>
      </c>
      <c r="S403" s="86"/>
      <c r="T403" s="86"/>
      <c r="U403" s="86"/>
      <c r="V403" s="86"/>
      <c r="W403" s="86"/>
    </row>
    <row r="404" spans="1:23" ht="21">
      <c r="A404" s="91" t="s">
        <v>129</v>
      </c>
      <c r="B404" s="111">
        <v>1624</v>
      </c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5"/>
      <c r="S404" s="86"/>
      <c r="T404" s="86"/>
      <c r="U404" s="86"/>
      <c r="V404" s="86"/>
      <c r="W404" s="86"/>
    </row>
    <row r="405" spans="1:23" ht="21">
      <c r="A405" s="105" t="s">
        <v>324</v>
      </c>
      <c r="B405" s="83">
        <v>800</v>
      </c>
      <c r="C405" s="84">
        <v>165</v>
      </c>
      <c r="D405" s="84">
        <v>135</v>
      </c>
      <c r="E405" s="84">
        <f>SUM(C405:D405)</f>
        <v>300</v>
      </c>
      <c r="F405" s="84">
        <v>45</v>
      </c>
      <c r="G405" s="84">
        <v>55</v>
      </c>
      <c r="H405" s="84">
        <v>45</v>
      </c>
      <c r="I405" s="84">
        <v>67</v>
      </c>
      <c r="J405" s="84">
        <v>75</v>
      </c>
      <c r="K405" s="84">
        <v>50</v>
      </c>
      <c r="L405" s="84">
        <v>25</v>
      </c>
      <c r="M405" s="84">
        <v>15</v>
      </c>
      <c r="N405" s="84">
        <f t="shared" si="9"/>
        <v>190</v>
      </c>
      <c r="O405" s="84">
        <f t="shared" si="9"/>
        <v>187</v>
      </c>
      <c r="P405" s="84">
        <v>430</v>
      </c>
      <c r="Q405" s="84">
        <v>337</v>
      </c>
      <c r="R405" s="85">
        <v>0.9587</v>
      </c>
      <c r="S405" s="86"/>
      <c r="T405" s="86"/>
      <c r="U405" s="86"/>
      <c r="V405" s="86"/>
      <c r="W405" s="86"/>
    </row>
    <row r="406" spans="1:23" ht="21">
      <c r="A406" s="105" t="s">
        <v>325</v>
      </c>
      <c r="B406" s="83">
        <v>700</v>
      </c>
      <c r="C406" s="84">
        <v>265</v>
      </c>
      <c r="D406" s="84">
        <v>207</v>
      </c>
      <c r="E406" s="84">
        <f>SUM(C406:D406)</f>
        <v>472</v>
      </c>
      <c r="F406" s="84">
        <v>62</v>
      </c>
      <c r="G406" s="84">
        <v>50</v>
      </c>
      <c r="H406" s="84">
        <v>83</v>
      </c>
      <c r="I406" s="84">
        <v>75</v>
      </c>
      <c r="J406" s="84">
        <v>75</v>
      </c>
      <c r="K406" s="84">
        <v>62</v>
      </c>
      <c r="L406" s="84">
        <v>55</v>
      </c>
      <c r="M406" s="84">
        <v>20</v>
      </c>
      <c r="N406" s="84">
        <f t="shared" si="9"/>
        <v>275</v>
      </c>
      <c r="O406" s="84">
        <f t="shared" si="9"/>
        <v>207</v>
      </c>
      <c r="P406" s="84">
        <f>C406+N406</f>
        <v>540</v>
      </c>
      <c r="Q406" s="84">
        <f>D406+P406</f>
        <v>747</v>
      </c>
      <c r="R406" s="85">
        <v>0.9842</v>
      </c>
      <c r="S406" s="86"/>
      <c r="T406" s="86"/>
      <c r="U406" s="86"/>
      <c r="V406" s="86"/>
      <c r="W406" s="86"/>
    </row>
    <row r="407" spans="1:23" ht="21">
      <c r="A407" s="105" t="s">
        <v>326</v>
      </c>
      <c r="B407" s="83">
        <v>700</v>
      </c>
      <c r="C407" s="84">
        <v>262</v>
      </c>
      <c r="D407" s="84">
        <v>266</v>
      </c>
      <c r="E407" s="84">
        <f>SUM(C407:D407)</f>
        <v>528</v>
      </c>
      <c r="F407" s="84">
        <v>65</v>
      </c>
      <c r="G407" s="84">
        <v>45</v>
      </c>
      <c r="H407" s="84">
        <v>75</v>
      </c>
      <c r="I407" s="84">
        <v>85</v>
      </c>
      <c r="J407" s="84">
        <v>65</v>
      </c>
      <c r="K407" s="84">
        <v>76</v>
      </c>
      <c r="L407" s="84">
        <v>87</v>
      </c>
      <c r="M407" s="84">
        <v>20</v>
      </c>
      <c r="N407" s="84">
        <f t="shared" si="9"/>
        <v>292</v>
      </c>
      <c r="O407" s="84">
        <f t="shared" si="9"/>
        <v>226</v>
      </c>
      <c r="P407" s="84">
        <f>C407+N407</f>
        <v>554</v>
      </c>
      <c r="Q407" s="84">
        <f>D407+P407</f>
        <v>820</v>
      </c>
      <c r="R407" s="85">
        <v>0.8633</v>
      </c>
      <c r="S407" s="86"/>
      <c r="T407" s="86"/>
      <c r="U407" s="86"/>
      <c r="V407" s="86"/>
      <c r="W407" s="86"/>
    </row>
    <row r="408" spans="1:23" ht="21">
      <c r="A408" s="21" t="s">
        <v>132</v>
      </c>
      <c r="B408" s="111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5"/>
      <c r="S408" s="86"/>
      <c r="T408" s="86"/>
      <c r="U408" s="86"/>
      <c r="V408" s="86"/>
      <c r="W408" s="86"/>
    </row>
    <row r="409" spans="1:23" ht="21">
      <c r="A409" s="25" t="s">
        <v>327</v>
      </c>
      <c r="B409" s="83">
        <v>656</v>
      </c>
      <c r="C409" s="84">
        <v>246</v>
      </c>
      <c r="D409" s="84">
        <v>276</v>
      </c>
      <c r="E409" s="84">
        <f>SUM(C409:D409)</f>
        <v>522</v>
      </c>
      <c r="F409" s="84">
        <v>30</v>
      </c>
      <c r="G409" s="84">
        <v>30</v>
      </c>
      <c r="H409" s="84">
        <v>30</v>
      </c>
      <c r="I409" s="84">
        <v>25</v>
      </c>
      <c r="J409" s="84">
        <v>20</v>
      </c>
      <c r="K409" s="84">
        <v>20</v>
      </c>
      <c r="L409" s="84">
        <v>7</v>
      </c>
      <c r="M409" s="84">
        <v>5</v>
      </c>
      <c r="N409" s="84">
        <f t="shared" si="9"/>
        <v>87</v>
      </c>
      <c r="O409" s="84">
        <f t="shared" si="9"/>
        <v>80</v>
      </c>
      <c r="P409" s="84">
        <v>333</v>
      </c>
      <c r="Q409" s="84">
        <v>356</v>
      </c>
      <c r="R409" s="85">
        <v>1.0503</v>
      </c>
      <c r="S409" s="86"/>
      <c r="T409" s="86"/>
      <c r="U409" s="86"/>
      <c r="V409" s="86"/>
      <c r="W409" s="86"/>
    </row>
    <row r="410" spans="1:23" ht="21">
      <c r="A410" s="25" t="s">
        <v>328</v>
      </c>
      <c r="B410" s="83">
        <v>695</v>
      </c>
      <c r="C410" s="84">
        <v>327</v>
      </c>
      <c r="D410" s="84">
        <v>317</v>
      </c>
      <c r="E410" s="84">
        <f>SUM(C410:D410)</f>
        <v>644</v>
      </c>
      <c r="F410" s="84">
        <v>31</v>
      </c>
      <c r="G410" s="84">
        <v>30</v>
      </c>
      <c r="H410" s="84">
        <v>30</v>
      </c>
      <c r="I410" s="84">
        <v>32</v>
      </c>
      <c r="J410" s="84">
        <v>25</v>
      </c>
      <c r="K410" s="84">
        <v>20</v>
      </c>
      <c r="L410" s="84">
        <v>10</v>
      </c>
      <c r="M410" s="84">
        <v>9</v>
      </c>
      <c r="N410" s="84">
        <f t="shared" si="9"/>
        <v>96</v>
      </c>
      <c r="O410" s="84">
        <f t="shared" si="9"/>
        <v>91</v>
      </c>
      <c r="P410" s="84">
        <v>423</v>
      </c>
      <c r="Q410" s="84">
        <v>408</v>
      </c>
      <c r="R410" s="85">
        <v>1.1956</v>
      </c>
      <c r="S410" s="86"/>
      <c r="T410" s="86"/>
      <c r="U410" s="86"/>
      <c r="V410" s="86"/>
      <c r="W410" s="86"/>
    </row>
    <row r="411" spans="1:23" ht="21">
      <c r="A411" s="21" t="s">
        <v>134</v>
      </c>
      <c r="B411" s="111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5"/>
      <c r="S411" s="86"/>
      <c r="T411" s="86"/>
      <c r="U411" s="86"/>
      <c r="V411" s="86"/>
      <c r="W411" s="86"/>
    </row>
    <row r="412" spans="1:23" ht="21">
      <c r="A412" s="21" t="s">
        <v>329</v>
      </c>
      <c r="B412" s="111">
        <v>750</v>
      </c>
      <c r="C412" s="84">
        <v>221</v>
      </c>
      <c r="D412" s="84">
        <v>236</v>
      </c>
      <c r="E412" s="84">
        <f>SUM(C412:D412)</f>
        <v>457</v>
      </c>
      <c r="F412" s="84">
        <v>15</v>
      </c>
      <c r="G412" s="84">
        <v>17</v>
      </c>
      <c r="H412" s="84">
        <v>21</v>
      </c>
      <c r="I412" s="84">
        <v>22</v>
      </c>
      <c r="J412" s="84">
        <v>27</v>
      </c>
      <c r="K412" s="84">
        <v>25</v>
      </c>
      <c r="L412" s="84">
        <v>24</v>
      </c>
      <c r="M412" s="84">
        <v>25</v>
      </c>
      <c r="N412" s="84">
        <f t="shared" si="9"/>
        <v>87</v>
      </c>
      <c r="O412" s="84">
        <f t="shared" si="9"/>
        <v>89</v>
      </c>
      <c r="P412" s="84">
        <v>308</v>
      </c>
      <c r="Q412" s="84">
        <v>325</v>
      </c>
      <c r="R412" s="85">
        <v>0.844</v>
      </c>
      <c r="S412" s="86"/>
      <c r="T412" s="86"/>
      <c r="U412" s="86"/>
      <c r="V412" s="86"/>
      <c r="W412" s="86"/>
    </row>
    <row r="413" spans="1:23" ht="21">
      <c r="A413" s="25" t="s">
        <v>330</v>
      </c>
      <c r="B413" s="83">
        <v>765</v>
      </c>
      <c r="C413" s="84">
        <v>273</v>
      </c>
      <c r="D413" s="84">
        <v>293</v>
      </c>
      <c r="E413" s="84">
        <f>SUM(C413:D413)</f>
        <v>566</v>
      </c>
      <c r="F413" s="84">
        <v>16</v>
      </c>
      <c r="G413" s="84">
        <v>28</v>
      </c>
      <c r="H413" s="84">
        <v>23</v>
      </c>
      <c r="I413" s="84">
        <v>29</v>
      </c>
      <c r="J413" s="84">
        <v>28</v>
      </c>
      <c r="K413" s="84">
        <v>31</v>
      </c>
      <c r="L413" s="84">
        <v>26</v>
      </c>
      <c r="M413" s="84">
        <v>20</v>
      </c>
      <c r="N413" s="84">
        <f t="shared" si="9"/>
        <v>93</v>
      </c>
      <c r="O413" s="84">
        <f t="shared" si="9"/>
        <v>108</v>
      </c>
      <c r="P413" s="84">
        <v>366</v>
      </c>
      <c r="Q413" s="84">
        <v>401</v>
      </c>
      <c r="R413" s="85">
        <v>1.0026</v>
      </c>
      <c r="S413" s="86"/>
      <c r="T413" s="86"/>
      <c r="U413" s="86"/>
      <c r="V413" s="86"/>
      <c r="W413" s="86"/>
    </row>
    <row r="414" spans="1:23" ht="21">
      <c r="A414" s="25" t="s">
        <v>331</v>
      </c>
      <c r="B414" s="83">
        <v>1522</v>
      </c>
      <c r="C414" s="84">
        <v>341</v>
      </c>
      <c r="D414" s="84">
        <v>367</v>
      </c>
      <c r="E414" s="84">
        <f>SUM(C414:D414)</f>
        <v>708</v>
      </c>
      <c r="F414" s="84">
        <v>25</v>
      </c>
      <c r="G414" s="84">
        <v>38</v>
      </c>
      <c r="H414" s="84">
        <v>39</v>
      </c>
      <c r="I414" s="84">
        <v>35</v>
      </c>
      <c r="J414" s="84">
        <v>38</v>
      </c>
      <c r="K414" s="84">
        <v>38</v>
      </c>
      <c r="L414" s="84">
        <v>24</v>
      </c>
      <c r="M414" s="84">
        <v>25</v>
      </c>
      <c r="N414" s="84">
        <f t="shared" si="9"/>
        <v>126</v>
      </c>
      <c r="O414" s="84">
        <f t="shared" si="9"/>
        <v>136</v>
      </c>
      <c r="P414" s="84">
        <v>467</v>
      </c>
      <c r="Q414" s="84">
        <v>503</v>
      </c>
      <c r="R414" s="85">
        <v>0.6373</v>
      </c>
      <c r="S414" s="86"/>
      <c r="T414" s="86"/>
      <c r="U414" s="86"/>
      <c r="V414" s="86"/>
      <c r="W414" s="86"/>
    </row>
    <row r="415" spans="1:23" ht="21">
      <c r="A415" s="25" t="s">
        <v>332</v>
      </c>
      <c r="B415" s="83">
        <v>1284</v>
      </c>
      <c r="C415" s="84">
        <v>339</v>
      </c>
      <c r="D415" s="84">
        <v>367</v>
      </c>
      <c r="E415" s="84">
        <f>SUM(C415:D415)</f>
        <v>706</v>
      </c>
      <c r="F415" s="84">
        <v>25</v>
      </c>
      <c r="G415" s="84">
        <v>48</v>
      </c>
      <c r="H415" s="84">
        <v>47</v>
      </c>
      <c r="I415" s="84">
        <v>46</v>
      </c>
      <c r="J415" s="84">
        <v>48</v>
      </c>
      <c r="K415" s="92">
        <v>44</v>
      </c>
      <c r="L415" s="92">
        <v>44</v>
      </c>
      <c r="M415" s="92">
        <v>45</v>
      </c>
      <c r="N415" s="84">
        <f t="shared" si="9"/>
        <v>164</v>
      </c>
      <c r="O415" s="84">
        <f t="shared" si="9"/>
        <v>183</v>
      </c>
      <c r="P415" s="84">
        <v>503</v>
      </c>
      <c r="Q415" s="84">
        <v>550</v>
      </c>
      <c r="R415" s="85">
        <v>0.82</v>
      </c>
      <c r="S415" s="86"/>
      <c r="T415" s="86"/>
      <c r="U415" s="86"/>
      <c r="V415" s="86"/>
      <c r="W415" s="86"/>
    </row>
    <row r="416" spans="1:23" ht="21">
      <c r="A416" s="21" t="s">
        <v>137</v>
      </c>
      <c r="B416" s="83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5"/>
      <c r="S416" s="86"/>
      <c r="T416" s="86"/>
      <c r="U416" s="86"/>
      <c r="V416" s="86"/>
      <c r="W416" s="86"/>
    </row>
    <row r="417" spans="1:23" ht="21">
      <c r="A417" s="25" t="s">
        <v>333</v>
      </c>
      <c r="B417" s="83">
        <v>865</v>
      </c>
      <c r="C417" s="84">
        <v>670</v>
      </c>
      <c r="D417" s="84">
        <v>670</v>
      </c>
      <c r="E417" s="84">
        <f>SUM(C417:D417)</f>
        <v>1340</v>
      </c>
      <c r="F417" s="84"/>
      <c r="G417" s="84"/>
      <c r="H417" s="84"/>
      <c r="I417" s="84"/>
      <c r="J417" s="92"/>
      <c r="K417" s="92"/>
      <c r="L417" s="92"/>
      <c r="M417" s="92"/>
      <c r="N417" s="84">
        <f t="shared" si="9"/>
        <v>0</v>
      </c>
      <c r="O417" s="84">
        <f t="shared" si="9"/>
        <v>0</v>
      </c>
      <c r="P417" s="84">
        <v>670</v>
      </c>
      <c r="Q417" s="84">
        <v>670</v>
      </c>
      <c r="R417" s="85">
        <v>1.5491</v>
      </c>
      <c r="S417" s="86"/>
      <c r="T417" s="86"/>
      <c r="U417" s="86"/>
      <c r="V417" s="86"/>
      <c r="W417" s="86"/>
    </row>
    <row r="418" spans="1:23" ht="21">
      <c r="A418" s="25" t="s">
        <v>334</v>
      </c>
      <c r="B418" s="83">
        <v>1024</v>
      </c>
      <c r="C418" s="84">
        <v>515</v>
      </c>
      <c r="D418" s="84">
        <v>788</v>
      </c>
      <c r="E418" s="84">
        <f>SUM(C418:D418)</f>
        <v>1303</v>
      </c>
      <c r="F418" s="84"/>
      <c r="G418" s="84"/>
      <c r="H418" s="84"/>
      <c r="I418" s="84"/>
      <c r="J418" s="84"/>
      <c r="K418" s="84"/>
      <c r="L418" s="84"/>
      <c r="M418" s="84"/>
      <c r="N418" s="84">
        <f t="shared" si="9"/>
        <v>0</v>
      </c>
      <c r="O418" s="84">
        <f t="shared" si="9"/>
        <v>0</v>
      </c>
      <c r="P418" s="84">
        <v>515</v>
      </c>
      <c r="Q418" s="84">
        <v>788</v>
      </c>
      <c r="R418" s="85">
        <v>1.2724</v>
      </c>
      <c r="S418" s="86"/>
      <c r="T418" s="86"/>
      <c r="U418" s="86"/>
      <c r="V418" s="86"/>
      <c r="W418" s="86"/>
    </row>
    <row r="419" spans="1:23" ht="21">
      <c r="A419" s="25" t="s">
        <v>335</v>
      </c>
      <c r="B419" s="83">
        <v>1040</v>
      </c>
      <c r="C419" s="84">
        <v>522</v>
      </c>
      <c r="D419" s="84">
        <v>636</v>
      </c>
      <c r="E419" s="84">
        <f>SUM(C419:D419)</f>
        <v>1158</v>
      </c>
      <c r="F419" s="84"/>
      <c r="G419" s="84"/>
      <c r="H419" s="84"/>
      <c r="I419" s="84"/>
      <c r="J419" s="84"/>
      <c r="K419" s="84"/>
      <c r="L419" s="84"/>
      <c r="M419" s="84"/>
      <c r="N419" s="84">
        <f t="shared" si="9"/>
        <v>0</v>
      </c>
      <c r="O419" s="84">
        <f t="shared" si="9"/>
        <v>0</v>
      </c>
      <c r="P419" s="84">
        <v>522</v>
      </c>
      <c r="Q419" s="84">
        <v>636</v>
      </c>
      <c r="R419" s="85">
        <v>1.1134</v>
      </c>
      <c r="S419" s="86"/>
      <c r="T419" s="86"/>
      <c r="U419" s="86"/>
      <c r="V419" s="86"/>
      <c r="W419" s="86"/>
    </row>
    <row r="420" spans="1:23" ht="21">
      <c r="A420" s="21" t="s">
        <v>139</v>
      </c>
      <c r="B420" s="83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5"/>
      <c r="S420" s="86"/>
      <c r="T420" s="86"/>
      <c r="U420" s="86"/>
      <c r="V420" s="86"/>
      <c r="W420" s="86"/>
    </row>
    <row r="421" spans="1:23" ht="21">
      <c r="A421" s="25" t="s">
        <v>336</v>
      </c>
      <c r="B421" s="83">
        <v>552</v>
      </c>
      <c r="C421" s="84">
        <v>306</v>
      </c>
      <c r="D421" s="84">
        <v>262</v>
      </c>
      <c r="E421" s="84">
        <f>SUM(C421:D421)</f>
        <v>568</v>
      </c>
      <c r="F421" s="84">
        <v>5</v>
      </c>
      <c r="G421" s="84">
        <v>6</v>
      </c>
      <c r="H421" s="84">
        <v>9</v>
      </c>
      <c r="I421" s="84">
        <v>9</v>
      </c>
      <c r="J421" s="84">
        <v>10</v>
      </c>
      <c r="K421" s="84">
        <v>6</v>
      </c>
      <c r="L421" s="84">
        <v>0</v>
      </c>
      <c r="M421" s="84">
        <v>0</v>
      </c>
      <c r="N421" s="84">
        <f t="shared" si="9"/>
        <v>24</v>
      </c>
      <c r="O421" s="84">
        <f t="shared" si="9"/>
        <v>21</v>
      </c>
      <c r="P421" s="84">
        <v>330</v>
      </c>
      <c r="Q421" s="84">
        <v>283</v>
      </c>
      <c r="R421" s="85">
        <v>1.11</v>
      </c>
      <c r="S421" s="86"/>
      <c r="T421" s="86"/>
      <c r="U421" s="86"/>
      <c r="V421" s="86"/>
      <c r="W421" s="86"/>
    </row>
    <row r="422" spans="1:23" ht="21">
      <c r="A422" s="25" t="s">
        <v>337</v>
      </c>
      <c r="B422" s="83">
        <v>800</v>
      </c>
      <c r="C422" s="84">
        <v>286</v>
      </c>
      <c r="D422" s="84">
        <v>472</v>
      </c>
      <c r="E422" s="84">
        <f>SUM(C422:D422)</f>
        <v>758</v>
      </c>
      <c r="F422" s="84">
        <v>3</v>
      </c>
      <c r="G422" s="84">
        <v>10</v>
      </c>
      <c r="H422" s="84">
        <v>8</v>
      </c>
      <c r="I422" s="84">
        <v>12</v>
      </c>
      <c r="J422" s="84">
        <v>18</v>
      </c>
      <c r="K422" s="84">
        <v>9</v>
      </c>
      <c r="L422" s="84">
        <v>0</v>
      </c>
      <c r="M422" s="84">
        <v>0</v>
      </c>
      <c r="N422" s="84">
        <f t="shared" si="9"/>
        <v>29</v>
      </c>
      <c r="O422" s="84">
        <f t="shared" si="9"/>
        <v>31</v>
      </c>
      <c r="P422" s="84">
        <v>315</v>
      </c>
      <c r="Q422" s="84">
        <v>503</v>
      </c>
      <c r="R422" s="85">
        <v>1.0225</v>
      </c>
      <c r="S422" s="86"/>
      <c r="T422" s="86"/>
      <c r="U422" s="86"/>
      <c r="V422" s="86"/>
      <c r="W422" s="86"/>
    </row>
    <row r="423" spans="1:23" ht="21">
      <c r="A423" s="25" t="s">
        <v>338</v>
      </c>
      <c r="B423" s="111">
        <v>355</v>
      </c>
      <c r="C423" s="84">
        <v>166</v>
      </c>
      <c r="D423" s="84">
        <v>184</v>
      </c>
      <c r="E423" s="84">
        <f>SUM(C423:D423)</f>
        <v>350</v>
      </c>
      <c r="F423" s="84">
        <v>2</v>
      </c>
      <c r="G423" s="84">
        <v>2</v>
      </c>
      <c r="H423" s="84">
        <v>4</v>
      </c>
      <c r="I423" s="84">
        <v>8</v>
      </c>
      <c r="J423" s="84">
        <v>5</v>
      </c>
      <c r="K423" s="84">
        <v>8</v>
      </c>
      <c r="L423" s="84">
        <v>0</v>
      </c>
      <c r="M423" s="84">
        <v>0</v>
      </c>
      <c r="N423" s="84">
        <f t="shared" si="9"/>
        <v>11</v>
      </c>
      <c r="O423" s="84">
        <f t="shared" si="9"/>
        <v>18</v>
      </c>
      <c r="P423" s="84">
        <v>177</v>
      </c>
      <c r="Q423" s="84">
        <v>202</v>
      </c>
      <c r="R423" s="85">
        <v>1.0676</v>
      </c>
      <c r="S423" s="86"/>
      <c r="T423" s="86"/>
      <c r="U423" s="86"/>
      <c r="V423" s="86"/>
      <c r="W423" s="86"/>
    </row>
    <row r="424" spans="1:23" ht="21">
      <c r="A424" s="21" t="s">
        <v>141</v>
      </c>
      <c r="B424" s="111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5"/>
      <c r="S424" s="86"/>
      <c r="T424" s="86"/>
      <c r="U424" s="86"/>
      <c r="V424" s="86"/>
      <c r="W424" s="86"/>
    </row>
    <row r="425" spans="1:23" ht="21">
      <c r="A425" s="25" t="s">
        <v>339</v>
      </c>
      <c r="B425" s="83">
        <v>500</v>
      </c>
      <c r="C425" s="84">
        <v>258</v>
      </c>
      <c r="D425" s="84">
        <v>282</v>
      </c>
      <c r="E425" s="84">
        <f>SUM(C425:D425)</f>
        <v>540</v>
      </c>
      <c r="F425" s="84">
        <v>14</v>
      </c>
      <c r="G425" s="84">
        <v>27</v>
      </c>
      <c r="H425" s="84">
        <v>27</v>
      </c>
      <c r="I425" s="84">
        <v>18</v>
      </c>
      <c r="J425" s="84">
        <v>19</v>
      </c>
      <c r="K425" s="84">
        <v>18</v>
      </c>
      <c r="L425" s="84">
        <v>0</v>
      </c>
      <c r="M425" s="84">
        <v>0</v>
      </c>
      <c r="N425" s="84">
        <f t="shared" si="9"/>
        <v>60</v>
      </c>
      <c r="O425" s="84">
        <f t="shared" si="9"/>
        <v>63</v>
      </c>
      <c r="P425" s="84">
        <v>259</v>
      </c>
      <c r="Q425" s="84">
        <v>286</v>
      </c>
      <c r="R425" s="85">
        <v>1.09</v>
      </c>
      <c r="S425" s="86"/>
      <c r="T425" s="86"/>
      <c r="U425" s="86"/>
      <c r="V425" s="86"/>
      <c r="W425" s="86"/>
    </row>
    <row r="426" spans="1:23" ht="21">
      <c r="A426" s="25" t="s">
        <v>340</v>
      </c>
      <c r="B426" s="83">
        <v>500</v>
      </c>
      <c r="C426" s="84">
        <v>175</v>
      </c>
      <c r="D426" s="84">
        <v>192</v>
      </c>
      <c r="E426" s="84">
        <f>SUM(C426:D426)</f>
        <v>367</v>
      </c>
      <c r="F426" s="84">
        <v>20</v>
      </c>
      <c r="G426" s="84">
        <v>35</v>
      </c>
      <c r="H426" s="84">
        <v>40</v>
      </c>
      <c r="I426" s="84">
        <v>25</v>
      </c>
      <c r="J426" s="84">
        <v>22</v>
      </c>
      <c r="K426" s="84">
        <v>20</v>
      </c>
      <c r="L426" s="84">
        <v>0</v>
      </c>
      <c r="M426" s="84">
        <v>0</v>
      </c>
      <c r="N426" s="84">
        <f t="shared" si="9"/>
        <v>82</v>
      </c>
      <c r="O426" s="84">
        <f t="shared" si="9"/>
        <v>80</v>
      </c>
      <c r="P426" s="84">
        <v>242</v>
      </c>
      <c r="Q426" s="84">
        <v>201</v>
      </c>
      <c r="R426" s="85">
        <v>0.89</v>
      </c>
      <c r="S426" s="86"/>
      <c r="T426" s="86"/>
      <c r="U426" s="86"/>
      <c r="V426" s="86"/>
      <c r="W426" s="86"/>
    </row>
    <row r="427" spans="1:23" ht="21">
      <c r="A427" s="25" t="s">
        <v>341</v>
      </c>
      <c r="B427" s="83">
        <v>700</v>
      </c>
      <c r="C427" s="84">
        <v>176</v>
      </c>
      <c r="D427" s="84">
        <v>162</v>
      </c>
      <c r="E427" s="84">
        <f>SUM(C427:D427)</f>
        <v>338</v>
      </c>
      <c r="F427" s="84">
        <v>35</v>
      </c>
      <c r="G427" s="84">
        <v>35</v>
      </c>
      <c r="H427" s="84">
        <v>40</v>
      </c>
      <c r="I427" s="84">
        <v>37</v>
      </c>
      <c r="J427" s="84">
        <v>35</v>
      </c>
      <c r="K427" s="84">
        <v>35</v>
      </c>
      <c r="L427" s="84">
        <v>8</v>
      </c>
      <c r="M427" s="84">
        <v>9</v>
      </c>
      <c r="N427" s="84">
        <f t="shared" si="9"/>
        <v>118</v>
      </c>
      <c r="O427" s="84">
        <f t="shared" si="9"/>
        <v>116</v>
      </c>
      <c r="P427" s="84">
        <v>277</v>
      </c>
      <c r="Q427" s="84">
        <v>265</v>
      </c>
      <c r="R427" s="85">
        <v>0.77</v>
      </c>
      <c r="S427" s="86"/>
      <c r="T427" s="86"/>
      <c r="U427" s="86"/>
      <c r="V427" s="86"/>
      <c r="W427" s="86"/>
    </row>
    <row r="428" spans="1:23" ht="21">
      <c r="A428" s="21" t="s">
        <v>298</v>
      </c>
      <c r="B428" s="109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84"/>
      <c r="O428" s="84"/>
      <c r="P428" s="103"/>
      <c r="Q428" s="103"/>
      <c r="R428" s="104"/>
      <c r="S428" s="105"/>
      <c r="T428" s="105"/>
      <c r="U428" s="105"/>
      <c r="V428" s="105"/>
      <c r="W428" s="105"/>
    </row>
    <row r="429" spans="1:23" ht="21">
      <c r="A429" s="25" t="s">
        <v>342</v>
      </c>
      <c r="B429" s="113">
        <v>850</v>
      </c>
      <c r="C429" s="114">
        <v>420</v>
      </c>
      <c r="D429" s="103">
        <v>426</v>
      </c>
      <c r="E429" s="114">
        <f>SUM(C429:D429)</f>
        <v>846</v>
      </c>
      <c r="F429" s="114">
        <v>28</v>
      </c>
      <c r="G429" s="114">
        <v>35</v>
      </c>
      <c r="H429" s="114">
        <v>36</v>
      </c>
      <c r="I429" s="114">
        <v>34</v>
      </c>
      <c r="J429" s="114">
        <v>35</v>
      </c>
      <c r="K429" s="114">
        <v>29</v>
      </c>
      <c r="L429" s="114">
        <v>15</v>
      </c>
      <c r="M429" s="114">
        <v>16</v>
      </c>
      <c r="N429" s="84">
        <f t="shared" si="9"/>
        <v>114</v>
      </c>
      <c r="O429" s="84">
        <f t="shared" si="9"/>
        <v>114</v>
      </c>
      <c r="P429" s="114">
        <v>534</v>
      </c>
      <c r="Q429" s="103">
        <v>540</v>
      </c>
      <c r="R429" s="104" t="s">
        <v>310</v>
      </c>
      <c r="S429" s="105"/>
      <c r="T429" s="105"/>
      <c r="U429" s="105"/>
      <c r="V429" s="105"/>
      <c r="W429" s="105"/>
    </row>
    <row r="430" spans="1:23" ht="21">
      <c r="A430" s="25" t="s">
        <v>343</v>
      </c>
      <c r="B430" s="111">
        <v>1180</v>
      </c>
      <c r="C430" s="84">
        <v>608</v>
      </c>
      <c r="D430" s="84">
        <v>548</v>
      </c>
      <c r="E430" s="114">
        <f>SUM(C430:D430)</f>
        <v>1156</v>
      </c>
      <c r="F430" s="92">
        <v>35</v>
      </c>
      <c r="G430" s="92">
        <v>37</v>
      </c>
      <c r="H430" s="92">
        <v>46</v>
      </c>
      <c r="I430" s="92">
        <v>39</v>
      </c>
      <c r="J430" s="92">
        <v>31</v>
      </c>
      <c r="K430" s="92">
        <v>35</v>
      </c>
      <c r="L430" s="92">
        <v>35</v>
      </c>
      <c r="M430" s="92">
        <v>12</v>
      </c>
      <c r="N430" s="84">
        <f t="shared" si="9"/>
        <v>147</v>
      </c>
      <c r="O430" s="84">
        <f t="shared" si="9"/>
        <v>123</v>
      </c>
      <c r="P430" s="84">
        <v>755</v>
      </c>
      <c r="Q430" s="84">
        <v>671</v>
      </c>
      <c r="R430" s="85" t="s">
        <v>310</v>
      </c>
      <c r="S430" s="99"/>
      <c r="T430" s="99"/>
      <c r="U430" s="99"/>
      <c r="V430" s="99"/>
      <c r="W430" s="97"/>
    </row>
    <row r="431" spans="1:23" ht="21">
      <c r="A431" s="25" t="s">
        <v>344</v>
      </c>
      <c r="B431" s="73">
        <v>626</v>
      </c>
      <c r="C431" s="84">
        <v>422</v>
      </c>
      <c r="D431" s="84">
        <v>436</v>
      </c>
      <c r="E431" s="114">
        <f>SUM(C431:D431)</f>
        <v>858</v>
      </c>
      <c r="F431" s="84">
        <v>43</v>
      </c>
      <c r="G431" s="84">
        <v>24</v>
      </c>
      <c r="H431" s="84">
        <v>35</v>
      </c>
      <c r="I431" s="84">
        <v>44</v>
      </c>
      <c r="J431" s="84">
        <v>35</v>
      </c>
      <c r="K431" s="84">
        <v>29</v>
      </c>
      <c r="L431" s="84">
        <v>17</v>
      </c>
      <c r="M431" s="84">
        <v>18</v>
      </c>
      <c r="N431" s="84">
        <f t="shared" si="9"/>
        <v>130</v>
      </c>
      <c r="O431" s="84">
        <f t="shared" si="9"/>
        <v>115</v>
      </c>
      <c r="P431" s="84">
        <v>552</v>
      </c>
      <c r="Q431" s="84">
        <v>551</v>
      </c>
      <c r="R431" s="85" t="s">
        <v>310</v>
      </c>
      <c r="S431" s="86"/>
      <c r="T431" s="86"/>
      <c r="U431" s="86"/>
      <c r="V431" s="86"/>
      <c r="W431" s="86"/>
    </row>
    <row r="432" spans="1:23" ht="21">
      <c r="A432" s="21" t="s">
        <v>146</v>
      </c>
      <c r="B432" s="83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5"/>
      <c r="S432" s="86"/>
      <c r="T432" s="86"/>
      <c r="U432" s="86"/>
      <c r="V432" s="86"/>
      <c r="W432" s="86"/>
    </row>
    <row r="433" spans="1:23" ht="21">
      <c r="A433" s="25" t="s">
        <v>345</v>
      </c>
      <c r="B433" s="111">
        <v>1422</v>
      </c>
      <c r="C433" s="84">
        <v>376</v>
      </c>
      <c r="D433" s="84">
        <v>481</v>
      </c>
      <c r="E433" s="84">
        <f>SUM(C433:D433)</f>
        <v>857</v>
      </c>
      <c r="F433" s="84">
        <v>15</v>
      </c>
      <c r="G433" s="84">
        <v>18</v>
      </c>
      <c r="H433" s="84">
        <v>38</v>
      </c>
      <c r="I433" s="84">
        <v>45</v>
      </c>
      <c r="J433" s="84">
        <v>22</v>
      </c>
      <c r="K433" s="84">
        <v>24</v>
      </c>
      <c r="L433" s="84">
        <v>7</v>
      </c>
      <c r="M433" s="84">
        <v>8</v>
      </c>
      <c r="N433" s="84">
        <f t="shared" si="9"/>
        <v>82</v>
      </c>
      <c r="O433" s="84">
        <f t="shared" si="9"/>
        <v>95</v>
      </c>
      <c r="P433" s="84"/>
      <c r="Q433" s="84"/>
      <c r="R433" s="85">
        <v>0.71</v>
      </c>
      <c r="S433" s="86"/>
      <c r="T433" s="86"/>
      <c r="U433" s="86"/>
      <c r="V433" s="86"/>
      <c r="W433" s="86"/>
    </row>
    <row r="434" spans="1:23" ht="21">
      <c r="A434" s="25" t="s">
        <v>346</v>
      </c>
      <c r="B434" s="111">
        <v>1304</v>
      </c>
      <c r="C434" s="84">
        <v>308</v>
      </c>
      <c r="D434" s="84">
        <v>422</v>
      </c>
      <c r="E434" s="84">
        <f>SUM(C434:D434)</f>
        <v>730</v>
      </c>
      <c r="F434" s="84">
        <v>6</v>
      </c>
      <c r="G434" s="84">
        <v>15</v>
      </c>
      <c r="H434" s="84">
        <v>33</v>
      </c>
      <c r="I434" s="84">
        <v>36</v>
      </c>
      <c r="J434" s="84">
        <v>8</v>
      </c>
      <c r="K434" s="84">
        <v>13</v>
      </c>
      <c r="L434" s="84">
        <v>14</v>
      </c>
      <c r="M434" s="84">
        <v>8</v>
      </c>
      <c r="N434" s="84">
        <f t="shared" si="9"/>
        <v>61</v>
      </c>
      <c r="O434" s="84">
        <f t="shared" si="9"/>
        <v>72</v>
      </c>
      <c r="P434" s="84"/>
      <c r="Q434" s="84"/>
      <c r="R434" s="85">
        <v>0.63</v>
      </c>
      <c r="S434" s="86"/>
      <c r="T434" s="86"/>
      <c r="U434" s="86"/>
      <c r="V434" s="86"/>
      <c r="W434" s="86"/>
    </row>
    <row r="435" spans="1:23" ht="21">
      <c r="A435" s="21" t="s">
        <v>148</v>
      </c>
      <c r="B435" s="83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5"/>
      <c r="S435" s="86"/>
      <c r="T435" s="86"/>
      <c r="U435" s="86"/>
      <c r="V435" s="86"/>
      <c r="W435" s="86"/>
    </row>
    <row r="436" spans="1:23" ht="21">
      <c r="A436" s="25" t="s">
        <v>347</v>
      </c>
      <c r="B436" s="83">
        <v>500</v>
      </c>
      <c r="C436" s="84">
        <v>311</v>
      </c>
      <c r="D436" s="84">
        <v>386</v>
      </c>
      <c r="E436" s="84">
        <f>SUM(C436:D436)</f>
        <v>697</v>
      </c>
      <c r="F436" s="84">
        <v>25</v>
      </c>
      <c r="G436" s="84">
        <v>30</v>
      </c>
      <c r="H436" s="84">
        <v>21</v>
      </c>
      <c r="I436" s="84">
        <v>28</v>
      </c>
      <c r="J436" s="84">
        <v>15</v>
      </c>
      <c r="K436" s="84">
        <v>25</v>
      </c>
      <c r="L436" s="84">
        <v>8</v>
      </c>
      <c r="M436" s="84">
        <v>6</v>
      </c>
      <c r="N436" s="84">
        <f t="shared" si="9"/>
        <v>69</v>
      </c>
      <c r="O436" s="84">
        <f t="shared" si="9"/>
        <v>89</v>
      </c>
      <c r="P436" s="84">
        <v>380</v>
      </c>
      <c r="Q436" s="84">
        <v>475</v>
      </c>
      <c r="R436" s="85">
        <v>1</v>
      </c>
      <c r="S436" s="86"/>
      <c r="T436" s="86"/>
      <c r="U436" s="86"/>
      <c r="V436" s="86"/>
      <c r="W436" s="86"/>
    </row>
    <row r="437" spans="1:23" ht="21">
      <c r="A437" s="25"/>
      <c r="B437" s="83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5"/>
      <c r="S437" s="86"/>
      <c r="T437" s="86"/>
      <c r="U437" s="86"/>
      <c r="V437" s="86"/>
      <c r="W437" s="86"/>
    </row>
    <row r="438" spans="1:23" ht="21">
      <c r="A438" s="115" t="s">
        <v>77</v>
      </c>
      <c r="B438" s="116"/>
      <c r="C438" s="117"/>
      <c r="D438" s="117"/>
      <c r="E438" s="117"/>
      <c r="F438" s="118"/>
      <c r="G438" s="118"/>
      <c r="H438" s="117"/>
      <c r="I438" s="117"/>
      <c r="J438" s="118"/>
      <c r="K438" s="118"/>
      <c r="L438" s="118"/>
      <c r="M438" s="118"/>
      <c r="N438" s="118"/>
      <c r="O438" s="118"/>
      <c r="P438" s="117"/>
      <c r="Q438" s="117"/>
      <c r="R438" s="119"/>
      <c r="S438" s="105"/>
      <c r="T438" s="105"/>
      <c r="U438" s="120"/>
      <c r="V438" s="120"/>
      <c r="W438" s="105"/>
    </row>
    <row r="439" spans="1:23" ht="21">
      <c r="A439" s="107" t="s">
        <v>78</v>
      </c>
      <c r="B439" s="109"/>
      <c r="C439" s="103"/>
      <c r="D439" s="103"/>
      <c r="E439" s="103"/>
      <c r="F439" s="92"/>
      <c r="G439" s="92"/>
      <c r="H439" s="103"/>
      <c r="I439" s="103"/>
      <c r="J439" s="92"/>
      <c r="K439" s="92"/>
      <c r="L439" s="92"/>
      <c r="M439" s="92"/>
      <c r="N439" s="92"/>
      <c r="O439" s="92"/>
      <c r="P439" s="103"/>
      <c r="Q439" s="103"/>
      <c r="R439" s="119"/>
      <c r="S439" s="105"/>
      <c r="T439" s="105"/>
      <c r="U439" s="120"/>
      <c r="V439" s="120"/>
      <c r="W439" s="105"/>
    </row>
    <row r="440" spans="1:23" ht="21">
      <c r="A440" s="107" t="s">
        <v>348</v>
      </c>
      <c r="B440" s="109"/>
      <c r="C440" s="103"/>
      <c r="D440" s="103"/>
      <c r="E440" s="103"/>
      <c r="F440" s="92"/>
      <c r="G440" s="92"/>
      <c r="H440" s="103"/>
      <c r="I440" s="103"/>
      <c r="J440" s="92"/>
      <c r="K440" s="92"/>
      <c r="L440" s="92"/>
      <c r="M440" s="92"/>
      <c r="N440" s="92"/>
      <c r="O440" s="92"/>
      <c r="P440" s="103"/>
      <c r="Q440" s="103"/>
      <c r="R440" s="104"/>
      <c r="S440" s="105"/>
      <c r="T440" s="105"/>
      <c r="U440" s="120"/>
      <c r="V440" s="120"/>
      <c r="W440" s="105"/>
    </row>
    <row r="441" spans="1:23" ht="21">
      <c r="A441" s="107" t="s">
        <v>349</v>
      </c>
      <c r="B441" s="83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5"/>
      <c r="S441" s="86"/>
      <c r="T441" s="86"/>
      <c r="U441" s="86"/>
      <c r="V441" s="86"/>
      <c r="W441" s="86"/>
    </row>
    <row r="442" spans="1:23" ht="21">
      <c r="A442" s="121" t="s">
        <v>350</v>
      </c>
      <c r="B442" s="83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5"/>
      <c r="S442" s="86"/>
      <c r="T442" s="86"/>
      <c r="U442" s="86"/>
      <c r="V442" s="86"/>
      <c r="W442" s="86"/>
    </row>
    <row r="443" spans="1:23" ht="21">
      <c r="A443" s="121" t="s">
        <v>351</v>
      </c>
      <c r="B443" s="83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5"/>
      <c r="S443" s="86"/>
      <c r="T443" s="86"/>
      <c r="U443" s="86"/>
      <c r="V443" s="86"/>
      <c r="W443" s="86"/>
    </row>
    <row r="444" spans="1:23" ht="21">
      <c r="A444" s="121" t="s">
        <v>352</v>
      </c>
      <c r="B444" s="83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5"/>
      <c r="S444" s="86"/>
      <c r="T444" s="86"/>
      <c r="U444" s="86"/>
      <c r="V444" s="86"/>
      <c r="W444" s="86"/>
    </row>
    <row r="445" spans="1:23" ht="21">
      <c r="A445" s="107" t="s">
        <v>353</v>
      </c>
      <c r="B445" s="83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5"/>
      <c r="S445" s="86"/>
      <c r="T445" s="86"/>
      <c r="U445" s="86"/>
      <c r="V445" s="86"/>
      <c r="W445" s="86"/>
    </row>
    <row r="446" spans="1:23" ht="21">
      <c r="A446" s="86" t="s">
        <v>86</v>
      </c>
      <c r="B446" s="83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5"/>
      <c r="S446" s="86"/>
      <c r="T446" s="86"/>
      <c r="U446" s="86"/>
      <c r="V446" s="86"/>
      <c r="W446" s="86"/>
    </row>
    <row r="447" spans="1:23" ht="21">
      <c r="A447" s="86" t="s">
        <v>87</v>
      </c>
      <c r="B447" s="83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5"/>
      <c r="S447" s="86"/>
      <c r="T447" s="86"/>
      <c r="U447" s="86"/>
      <c r="V447" s="86"/>
      <c r="W447" s="86"/>
    </row>
    <row r="448" spans="1:23" ht="21">
      <c r="A448" s="86" t="s">
        <v>88</v>
      </c>
      <c r="B448" s="83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5"/>
      <c r="S448" s="86"/>
      <c r="T448" s="86"/>
      <c r="U448" s="86"/>
      <c r="V448" s="86"/>
      <c r="W448" s="86"/>
    </row>
    <row r="449" spans="1:23" ht="21">
      <c r="A449" s="107" t="s">
        <v>354</v>
      </c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</row>
    <row r="450" spans="1:23" ht="21">
      <c r="A450" s="86" t="s">
        <v>86</v>
      </c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</row>
    <row r="451" spans="1:23" ht="21">
      <c r="A451" s="86" t="s">
        <v>87</v>
      </c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</row>
    <row r="452" spans="1:23" ht="21">
      <c r="A452" s="86" t="s">
        <v>88</v>
      </c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</row>
  </sheetData>
  <sheetProtection/>
  <mergeCells count="21">
    <mergeCell ref="R6:R8"/>
    <mergeCell ref="L7:M7"/>
    <mergeCell ref="A2:W2"/>
    <mergeCell ref="A3:W3"/>
    <mergeCell ref="A4:W4"/>
    <mergeCell ref="A6:A8"/>
    <mergeCell ref="B6:B8"/>
    <mergeCell ref="C6:D7"/>
    <mergeCell ref="E6:E7"/>
    <mergeCell ref="F6:M6"/>
    <mergeCell ref="P6:Q7"/>
    <mergeCell ref="N7:O7"/>
    <mergeCell ref="B9:W9"/>
    <mergeCell ref="S6:S8"/>
    <mergeCell ref="T6:T8"/>
    <mergeCell ref="U6:U8"/>
    <mergeCell ref="V6:V8"/>
    <mergeCell ref="W6:W8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A1" sqref="A1:IV16384"/>
    </sheetView>
  </sheetViews>
  <sheetFormatPr defaultColWidth="6.8515625" defaultRowHeight="15"/>
  <cols>
    <col min="1" max="1" width="40.140625" style="122" customWidth="1"/>
    <col min="2" max="2" width="10.421875" style="122" customWidth="1"/>
    <col min="3" max="3" width="6.28125" style="122" customWidth="1"/>
    <col min="4" max="4" width="6.140625" style="122" customWidth="1"/>
    <col min="5" max="5" width="12.140625" style="122" customWidth="1"/>
    <col min="6" max="6" width="5.00390625" style="122" customWidth="1"/>
    <col min="7" max="7" width="6.00390625" style="122" customWidth="1"/>
    <col min="8" max="8" width="4.8515625" style="122" customWidth="1"/>
    <col min="9" max="9" width="5.140625" style="122" customWidth="1"/>
    <col min="10" max="10" width="4.8515625" style="122" customWidth="1"/>
    <col min="11" max="11" width="5.7109375" style="122" customWidth="1"/>
    <col min="12" max="12" width="5.28125" style="122" customWidth="1"/>
    <col min="13" max="13" width="5.421875" style="122" customWidth="1"/>
    <col min="14" max="14" width="6.7109375" style="122" customWidth="1"/>
    <col min="15" max="15" width="7.7109375" style="122" customWidth="1"/>
    <col min="16" max="21" width="10.421875" style="122" customWidth="1"/>
    <col min="22" max="16384" width="6.8515625" style="122" customWidth="1"/>
  </cols>
  <sheetData>
    <row r="1" spans="1:21" ht="23.2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23.25">
      <c r="A2" s="371" t="s">
        <v>355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0" ht="23.25">
      <c r="A3" s="372" t="s">
        <v>356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</row>
    <row r="4" spans="1:23" ht="21">
      <c r="A4" s="373" t="s">
        <v>3</v>
      </c>
      <c r="B4" s="367" t="s">
        <v>4</v>
      </c>
      <c r="C4" s="375" t="s">
        <v>5</v>
      </c>
      <c r="D4" s="376"/>
      <c r="E4" s="367" t="s">
        <v>357</v>
      </c>
      <c r="F4" s="375" t="s">
        <v>6</v>
      </c>
      <c r="G4" s="379"/>
      <c r="H4" s="379"/>
      <c r="I4" s="379"/>
      <c r="J4" s="379"/>
      <c r="K4" s="379"/>
      <c r="L4" s="379"/>
      <c r="M4" s="376"/>
      <c r="N4" s="375" t="s">
        <v>7</v>
      </c>
      <c r="O4" s="376"/>
      <c r="P4" s="367" t="s">
        <v>8</v>
      </c>
      <c r="Q4" s="367" t="s">
        <v>9</v>
      </c>
      <c r="R4" s="367" t="s">
        <v>10</v>
      </c>
      <c r="S4" s="367" t="s">
        <v>11</v>
      </c>
      <c r="T4" s="367" t="s">
        <v>12</v>
      </c>
      <c r="U4" s="367" t="s">
        <v>13</v>
      </c>
      <c r="W4" s="122" t="s">
        <v>358</v>
      </c>
    </row>
    <row r="5" spans="1:21" ht="35.25" customHeight="1">
      <c r="A5" s="374"/>
      <c r="B5" s="368"/>
      <c r="C5" s="377"/>
      <c r="D5" s="378"/>
      <c r="E5" s="369"/>
      <c r="F5" s="370" t="s">
        <v>14</v>
      </c>
      <c r="G5" s="370"/>
      <c r="H5" s="370" t="s">
        <v>15</v>
      </c>
      <c r="I5" s="370"/>
      <c r="J5" s="370" t="s">
        <v>16</v>
      </c>
      <c r="K5" s="370"/>
      <c r="L5" s="370" t="s">
        <v>17</v>
      </c>
      <c r="M5" s="370"/>
      <c r="N5" s="377"/>
      <c r="O5" s="378"/>
      <c r="P5" s="368"/>
      <c r="Q5" s="368"/>
      <c r="R5" s="368"/>
      <c r="S5" s="368"/>
      <c r="T5" s="368"/>
      <c r="U5" s="368"/>
    </row>
    <row r="6" spans="1:21" ht="21">
      <c r="A6" s="374"/>
      <c r="B6" s="369"/>
      <c r="C6" s="123" t="s">
        <v>18</v>
      </c>
      <c r="D6" s="123" t="s">
        <v>19</v>
      </c>
      <c r="E6" s="124" t="s">
        <v>20</v>
      </c>
      <c r="F6" s="123" t="s">
        <v>18</v>
      </c>
      <c r="G6" s="123" t="s">
        <v>19</v>
      </c>
      <c r="H6" s="123" t="s">
        <v>18</v>
      </c>
      <c r="I6" s="123" t="s">
        <v>19</v>
      </c>
      <c r="J6" s="123" t="s">
        <v>18</v>
      </c>
      <c r="K6" s="123" t="s">
        <v>19</v>
      </c>
      <c r="L6" s="123" t="s">
        <v>18</v>
      </c>
      <c r="M6" s="123" t="s">
        <v>19</v>
      </c>
      <c r="N6" s="123" t="s">
        <v>18</v>
      </c>
      <c r="O6" s="123" t="s">
        <v>19</v>
      </c>
      <c r="P6" s="369"/>
      <c r="Q6" s="369"/>
      <c r="R6" s="369"/>
      <c r="S6" s="369"/>
      <c r="T6" s="369"/>
      <c r="U6" s="369"/>
    </row>
    <row r="7" spans="1:21" ht="21">
      <c r="A7" s="125" t="s">
        <v>22</v>
      </c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6"/>
    </row>
    <row r="8" spans="1:21" ht="21">
      <c r="A8" s="126" t="s">
        <v>23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8"/>
      <c r="R8" s="128"/>
      <c r="S8" s="128"/>
      <c r="T8" s="128"/>
      <c r="U8" s="128"/>
    </row>
    <row r="9" spans="1:21" ht="21">
      <c r="A9" s="129" t="s">
        <v>24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</row>
    <row r="10" spans="1:21" ht="21">
      <c r="A10" s="21" t="s">
        <v>359</v>
      </c>
      <c r="B10" s="131"/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2"/>
      <c r="Q10" s="133"/>
      <c r="R10" s="134"/>
      <c r="S10" s="135"/>
      <c r="T10" s="135"/>
      <c r="U10" s="132"/>
    </row>
    <row r="11" spans="1:21" ht="21">
      <c r="A11" s="136"/>
      <c r="B11" s="131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</row>
    <row r="12" spans="1:21" ht="42">
      <c r="A12" s="21" t="s">
        <v>360</v>
      </c>
      <c r="B12" s="131"/>
      <c r="C12" s="131"/>
      <c r="D12" s="131"/>
      <c r="E12" s="131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2"/>
      <c r="Q12" s="133"/>
      <c r="R12" s="135"/>
      <c r="S12" s="135"/>
      <c r="T12" s="135"/>
      <c r="U12" s="132"/>
    </row>
    <row r="13" spans="1:21" ht="21">
      <c r="A13" s="136" t="s">
        <v>361</v>
      </c>
      <c r="B13" s="130"/>
      <c r="C13" s="130"/>
      <c r="D13" s="130"/>
      <c r="E13" s="130"/>
      <c r="F13" s="137"/>
      <c r="G13" s="131"/>
      <c r="H13" s="131"/>
      <c r="I13" s="131"/>
      <c r="J13" s="131"/>
      <c r="K13" s="131"/>
      <c r="L13" s="131"/>
      <c r="M13" s="131"/>
      <c r="N13" s="131"/>
      <c r="O13" s="131"/>
      <c r="P13" s="130"/>
      <c r="Q13" s="130"/>
      <c r="R13" s="130"/>
      <c r="S13" s="130"/>
      <c r="T13" s="130"/>
      <c r="U13" s="130"/>
    </row>
    <row r="14" spans="1:21" ht="21">
      <c r="A14" s="21" t="s">
        <v>362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</row>
    <row r="15" spans="1:21" ht="21">
      <c r="A15" s="2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</row>
    <row r="16" spans="1:21" ht="21">
      <c r="A16" s="129" t="s">
        <v>38</v>
      </c>
      <c r="B16" s="131"/>
      <c r="C16" s="131"/>
      <c r="D16" s="131"/>
      <c r="E16" s="131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2"/>
      <c r="Q16" s="138"/>
      <c r="R16" s="135"/>
      <c r="S16" s="135"/>
      <c r="T16" s="135"/>
      <c r="U16" s="132"/>
    </row>
    <row r="17" spans="1:21" ht="23.25" customHeight="1">
      <c r="A17" s="139"/>
      <c r="B17" s="140"/>
      <c r="C17" s="141"/>
      <c r="D17" s="141"/>
      <c r="E17" s="141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  <c r="Q17" s="144"/>
      <c r="R17" s="143"/>
      <c r="S17" s="143"/>
      <c r="T17" s="130"/>
      <c r="U17" s="130"/>
    </row>
    <row r="18" spans="1:21" ht="21">
      <c r="A18" s="145"/>
      <c r="B18" s="146"/>
      <c r="C18" s="146"/>
      <c r="D18" s="146"/>
      <c r="E18" s="146"/>
      <c r="F18" s="147"/>
      <c r="G18" s="147"/>
      <c r="H18" s="147"/>
      <c r="I18" s="147"/>
      <c r="J18" s="147"/>
      <c r="K18" s="148"/>
      <c r="L18" s="148"/>
      <c r="M18" s="148"/>
      <c r="N18" s="147"/>
      <c r="O18" s="147"/>
      <c r="P18" s="143"/>
      <c r="Q18" s="144"/>
      <c r="R18" s="143"/>
      <c r="S18" s="143"/>
      <c r="T18" s="149"/>
      <c r="U18" s="149"/>
    </row>
    <row r="19" spans="1:21" ht="21">
      <c r="A19" s="150" t="s">
        <v>40</v>
      </c>
      <c r="B19" s="137"/>
      <c r="C19" s="151"/>
      <c r="D19" s="151"/>
      <c r="E19" s="151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3"/>
      <c r="Q19" s="154"/>
      <c r="R19" s="155"/>
      <c r="S19" s="155"/>
      <c r="T19" s="155"/>
      <c r="U19" s="156"/>
    </row>
    <row r="20" spans="1:21" ht="21">
      <c r="A20" s="136"/>
      <c r="B20" s="131"/>
      <c r="C20" s="130"/>
      <c r="D20" s="130"/>
      <c r="E20" s="130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57"/>
      <c r="R20" s="157"/>
      <c r="S20" s="157"/>
      <c r="T20" s="130"/>
      <c r="U20" s="130"/>
    </row>
    <row r="21" spans="1:21" ht="21">
      <c r="A21" s="136"/>
      <c r="B21" s="131"/>
      <c r="C21" s="130"/>
      <c r="D21" s="130"/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0"/>
      <c r="U21" s="130"/>
    </row>
    <row r="22" spans="1:21" ht="21">
      <c r="A22" s="129" t="s">
        <v>45</v>
      </c>
      <c r="B22" s="158"/>
      <c r="C22" s="131"/>
      <c r="D22" s="131"/>
      <c r="E22" s="131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2"/>
      <c r="Q22" s="157"/>
      <c r="R22" s="135"/>
      <c r="S22" s="135"/>
      <c r="T22" s="135"/>
      <c r="U22" s="132"/>
    </row>
    <row r="23" spans="1:21" ht="21">
      <c r="A23" s="159"/>
      <c r="B23" s="131"/>
      <c r="C23" s="131"/>
      <c r="D23" s="131"/>
      <c r="E23" s="131"/>
      <c r="F23" s="130"/>
      <c r="G23" s="130"/>
      <c r="H23" s="130"/>
      <c r="I23" s="130"/>
      <c r="J23" s="130"/>
      <c r="K23" s="142"/>
      <c r="L23" s="141"/>
      <c r="M23" s="141"/>
      <c r="N23" s="141"/>
      <c r="O23" s="140"/>
      <c r="P23" s="131"/>
      <c r="Q23" s="160"/>
      <c r="R23" s="157"/>
      <c r="S23" s="157"/>
      <c r="T23" s="135"/>
      <c r="U23" s="132"/>
    </row>
    <row r="24" spans="1:21" ht="21">
      <c r="A24" s="159"/>
      <c r="B24" s="131"/>
      <c r="C24" s="130"/>
      <c r="D24" s="130"/>
      <c r="E24" s="131"/>
      <c r="F24" s="131"/>
      <c r="G24" s="131"/>
      <c r="H24" s="131"/>
      <c r="I24" s="131"/>
      <c r="J24" s="131"/>
      <c r="K24" s="143"/>
      <c r="L24" s="131"/>
      <c r="M24" s="131"/>
      <c r="N24" s="131"/>
      <c r="O24" s="140"/>
      <c r="P24" s="131"/>
      <c r="Q24" s="160"/>
      <c r="R24" s="157"/>
      <c r="S24" s="157"/>
      <c r="T24" s="130"/>
      <c r="U24" s="130"/>
    </row>
    <row r="25" spans="1:21" ht="21">
      <c r="A25" s="159"/>
      <c r="B25" s="131"/>
      <c r="C25" s="130"/>
      <c r="D25" s="130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40"/>
      <c r="P25" s="131"/>
      <c r="Q25" s="160"/>
      <c r="R25" s="157"/>
      <c r="S25" s="157"/>
      <c r="T25" s="130"/>
      <c r="U25" s="130"/>
    </row>
    <row r="26" spans="1:21" ht="21">
      <c r="A26" s="129" t="s">
        <v>49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61"/>
      <c r="P26" s="130"/>
      <c r="Q26" s="130"/>
      <c r="R26" s="130"/>
      <c r="S26" s="130"/>
      <c r="T26" s="130"/>
      <c r="U26" s="130"/>
    </row>
    <row r="27" spans="1:21" ht="21">
      <c r="A27" s="129" t="s">
        <v>50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</row>
    <row r="28" spans="1:21" ht="42">
      <c r="A28" s="162" t="s">
        <v>52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49"/>
      <c r="P28" s="149"/>
      <c r="Q28" s="149"/>
      <c r="R28" s="149"/>
      <c r="S28" s="149"/>
      <c r="T28" s="149"/>
      <c r="U28" s="149"/>
    </row>
    <row r="29" spans="1:21" ht="21">
      <c r="A29" s="129" t="s">
        <v>53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</row>
    <row r="30" spans="1:21" ht="21">
      <c r="A30" s="129" t="s">
        <v>54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</row>
    <row r="31" spans="1:21" ht="21">
      <c r="A31" s="129" t="s">
        <v>55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</row>
    <row r="32" spans="1:21" ht="21">
      <c r="A32" s="129" t="s">
        <v>56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</row>
    <row r="33" spans="1:21" ht="42">
      <c r="A33" s="162" t="s">
        <v>57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49"/>
      <c r="P33" s="149"/>
      <c r="Q33" s="149"/>
      <c r="R33" s="149"/>
      <c r="S33" s="149"/>
      <c r="T33" s="149"/>
      <c r="U33" s="149"/>
    </row>
    <row r="34" spans="1:21" ht="42">
      <c r="A34" s="164" t="s">
        <v>58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</row>
    <row r="35" spans="1:21" ht="21">
      <c r="A35" s="129" t="s">
        <v>59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</row>
    <row r="36" spans="1:21" ht="21">
      <c r="A36" s="129" t="s">
        <v>60</v>
      </c>
      <c r="B36" s="165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</row>
    <row r="37" spans="1:21" ht="21">
      <c r="A37" s="129" t="s">
        <v>61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</row>
    <row r="38" spans="1:21" ht="21">
      <c r="A38" s="164" t="s">
        <v>62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</row>
    <row r="39" spans="1:21" ht="21">
      <c r="A39" s="166" t="s">
        <v>63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49"/>
      <c r="P39" s="149"/>
      <c r="Q39" s="167"/>
      <c r="R39" s="167"/>
      <c r="S39" s="167"/>
      <c r="T39" s="167"/>
      <c r="U39" s="149"/>
    </row>
    <row r="40" spans="1:21" ht="21">
      <c r="A40" s="168" t="s">
        <v>246</v>
      </c>
      <c r="B40" s="169">
        <v>5000</v>
      </c>
      <c r="C40" s="130">
        <v>306</v>
      </c>
      <c r="D40" s="130">
        <v>735</v>
      </c>
      <c r="E40" s="169">
        <v>1041</v>
      </c>
      <c r="F40" s="130">
        <v>24</v>
      </c>
      <c r="G40" s="130">
        <v>52</v>
      </c>
      <c r="H40" s="130">
        <v>192</v>
      </c>
      <c r="I40" s="130">
        <v>395</v>
      </c>
      <c r="J40" s="130">
        <v>113</v>
      </c>
      <c r="K40" s="130">
        <v>313</v>
      </c>
      <c r="L40" s="130">
        <v>10</v>
      </c>
      <c r="M40" s="130">
        <v>15</v>
      </c>
      <c r="N40" s="130">
        <v>289</v>
      </c>
      <c r="O40" s="130">
        <v>825</v>
      </c>
      <c r="P40" s="130">
        <v>43.1</v>
      </c>
      <c r="Q40" s="169">
        <v>147090</v>
      </c>
      <c r="R40" s="133">
        <v>57337.73</v>
      </c>
      <c r="S40" s="133">
        <v>31604.5</v>
      </c>
      <c r="T40" s="133">
        <v>88942.23</v>
      </c>
      <c r="U40" s="130"/>
    </row>
    <row r="41" spans="1:21" ht="21">
      <c r="A41" s="168" t="s">
        <v>247</v>
      </c>
      <c r="B41" s="130">
        <v>300</v>
      </c>
      <c r="C41" s="130">
        <v>15</v>
      </c>
      <c r="D41" s="130">
        <v>32</v>
      </c>
      <c r="E41" s="130">
        <v>47</v>
      </c>
      <c r="F41" s="130">
        <v>0</v>
      </c>
      <c r="G41" s="130">
        <v>0</v>
      </c>
      <c r="H41" s="130">
        <v>0</v>
      </c>
      <c r="I41" s="130">
        <v>3</v>
      </c>
      <c r="J41" s="130">
        <v>0</v>
      </c>
      <c r="K41" s="130">
        <v>2</v>
      </c>
      <c r="L41" s="130">
        <v>0</v>
      </c>
      <c r="M41" s="130">
        <v>0</v>
      </c>
      <c r="N41" s="130">
        <v>0</v>
      </c>
      <c r="O41" s="130">
        <v>5</v>
      </c>
      <c r="P41" s="130">
        <v>17.33</v>
      </c>
      <c r="Q41" s="130"/>
      <c r="R41" s="130"/>
      <c r="S41" s="130"/>
      <c r="T41" s="130"/>
      <c r="U41" s="130"/>
    </row>
    <row r="42" spans="1:21" ht="21">
      <c r="A42" s="168" t="s">
        <v>66</v>
      </c>
      <c r="B42" s="157"/>
      <c r="C42" s="170"/>
      <c r="D42" s="170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2"/>
      <c r="Q42" s="130"/>
      <c r="R42" s="130"/>
      <c r="S42" s="130"/>
      <c r="T42" s="130"/>
      <c r="U42" s="130"/>
    </row>
    <row r="43" spans="1:21" ht="21">
      <c r="A43" s="130" t="s">
        <v>363</v>
      </c>
      <c r="B43" s="131">
        <v>2000</v>
      </c>
      <c r="C43" s="170"/>
      <c r="D43" s="170"/>
      <c r="E43" s="171"/>
      <c r="F43" s="131">
        <v>15</v>
      </c>
      <c r="G43" s="131">
        <v>28</v>
      </c>
      <c r="H43" s="131">
        <v>36</v>
      </c>
      <c r="I43" s="131">
        <v>105</v>
      </c>
      <c r="J43" s="131">
        <v>42</v>
      </c>
      <c r="K43" s="131">
        <v>64</v>
      </c>
      <c r="L43" s="131">
        <v>0</v>
      </c>
      <c r="M43" s="131">
        <v>0</v>
      </c>
      <c r="N43" s="131">
        <v>93</v>
      </c>
      <c r="O43" s="131">
        <v>197</v>
      </c>
      <c r="P43" s="172"/>
      <c r="Q43" s="130"/>
      <c r="R43" s="130"/>
      <c r="S43" s="130"/>
      <c r="T43" s="130"/>
      <c r="U43" s="130"/>
    </row>
    <row r="44" spans="1:21" ht="21">
      <c r="A44" s="130" t="s">
        <v>364</v>
      </c>
      <c r="B44" s="131">
        <v>300</v>
      </c>
      <c r="C44" s="170"/>
      <c r="D44" s="170"/>
      <c r="E44" s="171"/>
      <c r="F44" s="131">
        <v>2</v>
      </c>
      <c r="G44" s="131">
        <v>0</v>
      </c>
      <c r="H44" s="131">
        <v>0</v>
      </c>
      <c r="I44" s="131">
        <v>3</v>
      </c>
      <c r="J44" s="131">
        <v>0</v>
      </c>
      <c r="K44" s="131">
        <v>0</v>
      </c>
      <c r="L44" s="131">
        <v>0</v>
      </c>
      <c r="M44" s="131">
        <v>0</v>
      </c>
      <c r="N44" s="131">
        <v>2</v>
      </c>
      <c r="O44" s="131">
        <v>3</v>
      </c>
      <c r="P44" s="172"/>
      <c r="Q44" s="130"/>
      <c r="R44" s="130"/>
      <c r="S44" s="130"/>
      <c r="T44" s="130"/>
      <c r="U44" s="130"/>
    </row>
    <row r="45" spans="1:21" ht="21">
      <c r="A45" s="168" t="s">
        <v>365</v>
      </c>
      <c r="B45" s="131">
        <v>1000</v>
      </c>
      <c r="C45" s="170"/>
      <c r="D45" s="170"/>
      <c r="E45" s="171"/>
      <c r="F45" s="131">
        <v>12</v>
      </c>
      <c r="G45" s="131">
        <v>15</v>
      </c>
      <c r="H45" s="131">
        <v>27</v>
      </c>
      <c r="I45" s="131">
        <v>38</v>
      </c>
      <c r="J45" s="131">
        <v>35</v>
      </c>
      <c r="K45" s="131">
        <v>57</v>
      </c>
      <c r="L45" s="131">
        <v>3</v>
      </c>
      <c r="M45" s="131">
        <v>2</v>
      </c>
      <c r="N45" s="131">
        <v>77</v>
      </c>
      <c r="O45" s="131">
        <v>112</v>
      </c>
      <c r="P45" s="172"/>
      <c r="Q45" s="130"/>
      <c r="R45" s="130"/>
      <c r="S45" s="130"/>
      <c r="T45" s="130"/>
      <c r="U45" s="130"/>
    </row>
    <row r="46" spans="1:21" ht="21">
      <c r="A46" s="149" t="s">
        <v>366</v>
      </c>
      <c r="B46" s="146">
        <v>20</v>
      </c>
      <c r="C46" s="170"/>
      <c r="D46" s="170"/>
      <c r="E46" s="171"/>
      <c r="F46" s="146">
        <v>6</v>
      </c>
      <c r="G46" s="146">
        <v>9</v>
      </c>
      <c r="H46" s="146">
        <v>5</v>
      </c>
      <c r="I46" s="146">
        <v>29</v>
      </c>
      <c r="J46" s="146">
        <v>7</v>
      </c>
      <c r="K46" s="146">
        <v>30</v>
      </c>
      <c r="L46" s="146">
        <v>1</v>
      </c>
      <c r="M46" s="146">
        <v>2</v>
      </c>
      <c r="N46" s="146">
        <v>19</v>
      </c>
      <c r="O46" s="146">
        <v>70</v>
      </c>
      <c r="P46" s="172"/>
      <c r="Q46" s="130"/>
      <c r="R46" s="130"/>
      <c r="S46" s="130"/>
      <c r="T46" s="130"/>
      <c r="U46" s="130"/>
    </row>
    <row r="47" spans="1:21" ht="21">
      <c r="A47" s="149" t="s">
        <v>367</v>
      </c>
      <c r="B47" s="146">
        <v>500</v>
      </c>
      <c r="C47" s="170"/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2"/>
      <c r="Q47" s="130"/>
      <c r="R47" s="130"/>
      <c r="S47" s="130"/>
      <c r="T47" s="130"/>
      <c r="U47" s="130"/>
    </row>
    <row r="48" spans="1:21" ht="21">
      <c r="A48" s="130"/>
      <c r="B48" s="131"/>
      <c r="C48" s="170"/>
      <c r="D48" s="170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30"/>
      <c r="Q48" s="130"/>
      <c r="R48" s="130"/>
      <c r="S48" s="130"/>
      <c r="T48" s="130"/>
      <c r="U48" s="130"/>
    </row>
    <row r="49" spans="1:21" ht="21">
      <c r="A49" s="168" t="s">
        <v>71</v>
      </c>
      <c r="B49" s="173"/>
      <c r="C49" s="170"/>
      <c r="D49" s="170"/>
      <c r="E49" s="174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75"/>
      <c r="Q49" s="130"/>
      <c r="R49" s="130"/>
      <c r="S49" s="130"/>
      <c r="T49" s="130"/>
      <c r="U49" s="130"/>
    </row>
    <row r="50" spans="1:21" ht="21">
      <c r="A50" s="158" t="s">
        <v>368</v>
      </c>
      <c r="B50" s="176">
        <v>300</v>
      </c>
      <c r="C50" s="170"/>
      <c r="D50" s="170"/>
      <c r="E50" s="174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75"/>
      <c r="Q50" s="130"/>
      <c r="R50" s="130"/>
      <c r="S50" s="130"/>
      <c r="T50" s="130"/>
      <c r="U50" s="130"/>
    </row>
    <row r="51" spans="1:21" ht="21">
      <c r="A51" s="149" t="s">
        <v>369</v>
      </c>
      <c r="B51" s="177"/>
      <c r="C51" s="142">
        <v>35</v>
      </c>
      <c r="D51" s="142">
        <v>40</v>
      </c>
      <c r="E51" s="174"/>
      <c r="F51" s="137"/>
      <c r="G51" s="137"/>
      <c r="H51" s="137">
        <v>32</v>
      </c>
      <c r="I51" s="137">
        <v>36</v>
      </c>
      <c r="J51" s="137">
        <v>24</v>
      </c>
      <c r="K51" s="137">
        <v>22</v>
      </c>
      <c r="L51" s="137">
        <v>5</v>
      </c>
      <c r="M51" s="137">
        <v>9</v>
      </c>
      <c r="N51" s="142">
        <v>61</v>
      </c>
      <c r="O51" s="142">
        <v>67</v>
      </c>
      <c r="P51" s="175"/>
      <c r="Q51" s="130"/>
      <c r="R51" s="130"/>
      <c r="S51" s="130"/>
      <c r="T51" s="130"/>
      <c r="U51" s="130"/>
    </row>
    <row r="52" spans="1:21" ht="21">
      <c r="A52" s="149" t="s">
        <v>370</v>
      </c>
      <c r="B52" s="177"/>
      <c r="C52" s="178">
        <v>26</v>
      </c>
      <c r="D52" s="178">
        <v>32</v>
      </c>
      <c r="E52" s="174"/>
      <c r="F52" s="142">
        <v>10</v>
      </c>
      <c r="G52" s="142">
        <v>18</v>
      </c>
      <c r="H52" s="142">
        <v>22</v>
      </c>
      <c r="I52" s="142">
        <v>13</v>
      </c>
      <c r="J52" s="142">
        <v>5</v>
      </c>
      <c r="K52" s="142">
        <v>6</v>
      </c>
      <c r="L52" s="179">
        <v>14</v>
      </c>
      <c r="M52" s="179">
        <v>15</v>
      </c>
      <c r="N52" s="142">
        <v>51</v>
      </c>
      <c r="O52" s="142">
        <v>52</v>
      </c>
      <c r="P52" s="175"/>
      <c r="Q52" s="130"/>
      <c r="R52" s="130"/>
      <c r="S52" s="130"/>
      <c r="T52" s="130"/>
      <c r="U52" s="130"/>
    </row>
    <row r="53" spans="1:21" ht="21">
      <c r="A53" s="122" t="s">
        <v>371</v>
      </c>
      <c r="B53" s="177"/>
      <c r="C53" s="142">
        <v>34</v>
      </c>
      <c r="D53" s="142">
        <v>39</v>
      </c>
      <c r="E53" s="174"/>
      <c r="F53" s="142"/>
      <c r="G53" s="142"/>
      <c r="H53" s="137">
        <v>32</v>
      </c>
      <c r="I53" s="137">
        <v>36</v>
      </c>
      <c r="J53" s="137">
        <v>24</v>
      </c>
      <c r="K53" s="137">
        <v>22</v>
      </c>
      <c r="L53" s="137">
        <v>5</v>
      </c>
      <c r="M53" s="137">
        <v>9</v>
      </c>
      <c r="N53" s="142">
        <v>61</v>
      </c>
      <c r="O53" s="142">
        <v>67</v>
      </c>
      <c r="P53" s="175"/>
      <c r="Q53" s="130"/>
      <c r="R53" s="130"/>
      <c r="S53" s="130"/>
      <c r="T53" s="130"/>
      <c r="U53" s="130"/>
    </row>
    <row r="54" spans="1:21" ht="21">
      <c r="A54" s="158" t="s">
        <v>372</v>
      </c>
      <c r="B54" s="177">
        <v>300</v>
      </c>
      <c r="C54" s="180"/>
      <c r="D54" s="181"/>
      <c r="E54" s="174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75"/>
      <c r="Q54" s="130"/>
      <c r="R54" s="130"/>
      <c r="S54" s="130"/>
      <c r="T54" s="130"/>
      <c r="U54" s="130"/>
    </row>
    <row r="55" spans="1:21" ht="21">
      <c r="A55" s="149" t="s">
        <v>373</v>
      </c>
      <c r="B55" s="177"/>
      <c r="E55" s="174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75"/>
      <c r="Q55" s="130"/>
      <c r="R55" s="130"/>
      <c r="S55" s="130"/>
      <c r="T55" s="130"/>
      <c r="U55" s="130"/>
    </row>
    <row r="56" spans="1:21" ht="21">
      <c r="A56" s="149" t="s">
        <v>370</v>
      </c>
      <c r="B56" s="177"/>
      <c r="C56" s="131">
        <v>49</v>
      </c>
      <c r="D56" s="157">
        <v>66</v>
      </c>
      <c r="E56" s="174"/>
      <c r="F56" s="159">
        <v>2</v>
      </c>
      <c r="G56" s="159">
        <v>2</v>
      </c>
      <c r="H56" s="159">
        <v>15</v>
      </c>
      <c r="I56" s="159">
        <v>15</v>
      </c>
      <c r="J56" s="159">
        <v>10</v>
      </c>
      <c r="K56" s="159">
        <v>16</v>
      </c>
      <c r="L56" s="159">
        <v>5</v>
      </c>
      <c r="M56" s="159">
        <v>5</v>
      </c>
      <c r="N56" s="159">
        <v>32</v>
      </c>
      <c r="O56" s="159">
        <v>38</v>
      </c>
      <c r="P56" s="175"/>
      <c r="Q56" s="130"/>
      <c r="R56" s="130"/>
      <c r="S56" s="130"/>
      <c r="T56" s="130"/>
      <c r="U56" s="130"/>
    </row>
    <row r="57" spans="1:21" ht="21">
      <c r="A57" s="122" t="s">
        <v>371</v>
      </c>
      <c r="B57" s="177"/>
      <c r="C57" s="131">
        <v>30</v>
      </c>
      <c r="D57" s="157">
        <v>37</v>
      </c>
      <c r="E57" s="174"/>
      <c r="F57" s="159">
        <v>5</v>
      </c>
      <c r="G57" s="159">
        <v>2</v>
      </c>
      <c r="H57" s="159">
        <v>10</v>
      </c>
      <c r="I57" s="159">
        <v>9</v>
      </c>
      <c r="J57" s="159"/>
      <c r="K57" s="159"/>
      <c r="L57" s="159"/>
      <c r="M57" s="159"/>
      <c r="N57" s="159">
        <v>15</v>
      </c>
      <c r="O57" s="159">
        <v>11</v>
      </c>
      <c r="P57" s="175"/>
      <c r="Q57" s="130"/>
      <c r="R57" s="130"/>
      <c r="S57" s="130"/>
      <c r="T57" s="130"/>
      <c r="U57" s="130"/>
    </row>
    <row r="58" spans="1:21" ht="21">
      <c r="A58" s="158" t="s">
        <v>374</v>
      </c>
      <c r="B58" s="177">
        <v>300</v>
      </c>
      <c r="C58" s="159"/>
      <c r="D58" s="174"/>
      <c r="E58" s="174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75"/>
      <c r="Q58" s="130"/>
      <c r="R58" s="130"/>
      <c r="S58" s="130"/>
      <c r="T58" s="130"/>
      <c r="U58" s="130"/>
    </row>
    <row r="59" spans="1:21" ht="21">
      <c r="A59" s="149" t="s">
        <v>373</v>
      </c>
      <c r="B59" s="177"/>
      <c r="C59" s="146">
        <v>28</v>
      </c>
      <c r="D59" s="146">
        <v>31</v>
      </c>
      <c r="E59" s="174"/>
      <c r="F59" s="159">
        <v>4</v>
      </c>
      <c r="G59" s="159">
        <v>6</v>
      </c>
      <c r="H59" s="159">
        <v>20</v>
      </c>
      <c r="I59" s="159">
        <v>10</v>
      </c>
      <c r="J59" s="159">
        <v>6</v>
      </c>
      <c r="K59" s="159">
        <v>2</v>
      </c>
      <c r="L59" s="159"/>
      <c r="M59" s="159"/>
      <c r="N59" s="159">
        <v>30</v>
      </c>
      <c r="O59" s="159">
        <v>18</v>
      </c>
      <c r="P59" s="175"/>
      <c r="Q59" s="130"/>
      <c r="R59" s="130"/>
      <c r="S59" s="130"/>
      <c r="T59" s="130"/>
      <c r="U59" s="130"/>
    </row>
    <row r="60" spans="1:21" ht="21">
      <c r="A60" s="149" t="s">
        <v>370</v>
      </c>
      <c r="B60" s="182"/>
      <c r="C60" s="183">
        <v>28</v>
      </c>
      <c r="D60" s="183">
        <v>43</v>
      </c>
      <c r="E60" s="174"/>
      <c r="F60" s="159">
        <v>10</v>
      </c>
      <c r="G60" s="159">
        <v>12</v>
      </c>
      <c r="H60" s="159">
        <v>12</v>
      </c>
      <c r="I60" s="159">
        <v>10</v>
      </c>
      <c r="J60" s="159">
        <v>8</v>
      </c>
      <c r="K60" s="159">
        <v>16</v>
      </c>
      <c r="L60" s="159">
        <v>3</v>
      </c>
      <c r="M60" s="159"/>
      <c r="N60" s="159">
        <v>33</v>
      </c>
      <c r="O60" s="159">
        <v>38</v>
      </c>
      <c r="P60" s="175"/>
      <c r="Q60" s="130"/>
      <c r="R60" s="130"/>
      <c r="S60" s="130"/>
      <c r="T60" s="130"/>
      <c r="U60" s="130"/>
    </row>
    <row r="61" spans="1:21" ht="21">
      <c r="A61" s="149" t="s">
        <v>371</v>
      </c>
      <c r="B61" s="177"/>
      <c r="C61" s="146">
        <v>12</v>
      </c>
      <c r="D61" s="146">
        <v>27</v>
      </c>
      <c r="E61" s="174"/>
      <c r="F61" s="159">
        <v>2</v>
      </c>
      <c r="G61" s="159">
        <v>10</v>
      </c>
      <c r="H61" s="159">
        <v>5</v>
      </c>
      <c r="I61" s="159">
        <v>12</v>
      </c>
      <c r="J61" s="159">
        <v>3</v>
      </c>
      <c r="K61" s="159">
        <v>1</v>
      </c>
      <c r="L61" s="159"/>
      <c r="M61" s="159"/>
      <c r="N61" s="159">
        <v>10</v>
      </c>
      <c r="O61" s="159">
        <v>23</v>
      </c>
      <c r="P61" s="175"/>
      <c r="Q61" s="130"/>
      <c r="R61" s="130"/>
      <c r="S61" s="130"/>
      <c r="T61" s="130"/>
      <c r="U61" s="130"/>
    </row>
    <row r="62" spans="1:21" ht="21">
      <c r="A62" s="149" t="s">
        <v>375</v>
      </c>
      <c r="B62" s="177"/>
      <c r="C62" s="146"/>
      <c r="D62" s="146"/>
      <c r="E62" s="174"/>
      <c r="F62" s="159"/>
      <c r="G62" s="159"/>
      <c r="H62" s="159">
        <v>5</v>
      </c>
      <c r="I62" s="159">
        <v>11</v>
      </c>
      <c r="J62" s="159">
        <v>5</v>
      </c>
      <c r="K62" s="159">
        <v>13</v>
      </c>
      <c r="L62" s="159">
        <v>1</v>
      </c>
      <c r="M62" s="159">
        <f>-M62</f>
        <v>0</v>
      </c>
      <c r="N62" s="159">
        <v>11</v>
      </c>
      <c r="O62" s="159">
        <v>24</v>
      </c>
      <c r="P62" s="175"/>
      <c r="Q62" s="130"/>
      <c r="R62" s="130"/>
      <c r="S62" s="130"/>
      <c r="T62" s="130"/>
      <c r="U62" s="130"/>
    </row>
    <row r="63" spans="1:21" ht="21">
      <c r="A63" s="158" t="s">
        <v>376</v>
      </c>
      <c r="B63" s="177">
        <v>300</v>
      </c>
      <c r="C63" s="170"/>
      <c r="D63" s="170"/>
      <c r="E63" s="174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75"/>
      <c r="Q63" s="130"/>
      <c r="R63" s="130"/>
      <c r="S63" s="130"/>
      <c r="T63" s="130"/>
      <c r="U63" s="130"/>
    </row>
    <row r="64" spans="1:21" ht="21">
      <c r="A64" s="149" t="s">
        <v>373</v>
      </c>
      <c r="B64" s="177"/>
      <c r="C64" s="131">
        <v>19</v>
      </c>
      <c r="D64" s="157">
        <v>21</v>
      </c>
      <c r="E64" s="174"/>
      <c r="F64" s="131"/>
      <c r="G64" s="131"/>
      <c r="H64" s="131">
        <v>12</v>
      </c>
      <c r="I64" s="131">
        <v>10</v>
      </c>
      <c r="J64" s="131">
        <v>3</v>
      </c>
      <c r="K64" s="131">
        <v>2</v>
      </c>
      <c r="L64" s="131">
        <v>2</v>
      </c>
      <c r="M64" s="131">
        <v>1</v>
      </c>
      <c r="N64" s="131">
        <v>21</v>
      </c>
      <c r="O64" s="131">
        <v>13</v>
      </c>
      <c r="P64" s="175"/>
      <c r="Q64" s="130"/>
      <c r="R64" s="130"/>
      <c r="S64" s="130"/>
      <c r="T64" s="130"/>
      <c r="U64" s="130"/>
    </row>
    <row r="65" spans="1:21" ht="21">
      <c r="A65" s="149" t="s">
        <v>370</v>
      </c>
      <c r="B65" s="177"/>
      <c r="C65" s="131">
        <v>5</v>
      </c>
      <c r="D65" s="157">
        <v>7</v>
      </c>
      <c r="E65" s="174"/>
      <c r="F65" s="131">
        <v>1</v>
      </c>
      <c r="G65" s="131">
        <v>2</v>
      </c>
      <c r="H65" s="131">
        <v>2</v>
      </c>
      <c r="I65" s="131">
        <v>3</v>
      </c>
      <c r="J65" s="131">
        <v>2</v>
      </c>
      <c r="K65" s="131">
        <v>3</v>
      </c>
      <c r="L65" s="131">
        <v>2</v>
      </c>
      <c r="M65" s="131">
        <v>2</v>
      </c>
      <c r="N65" s="131">
        <v>7</v>
      </c>
      <c r="O65" s="131">
        <v>10</v>
      </c>
      <c r="P65" s="175"/>
      <c r="Q65" s="130"/>
      <c r="R65" s="130"/>
      <c r="S65" s="130"/>
      <c r="T65" s="130"/>
      <c r="U65" s="130"/>
    </row>
    <row r="66" spans="1:21" ht="21">
      <c r="A66" s="122" t="s">
        <v>371</v>
      </c>
      <c r="B66" s="177"/>
      <c r="C66" s="131">
        <v>7</v>
      </c>
      <c r="D66" s="157">
        <v>5</v>
      </c>
      <c r="E66" s="174"/>
      <c r="F66" s="131">
        <v>2</v>
      </c>
      <c r="G66" s="131">
        <v>2</v>
      </c>
      <c r="H66" s="131">
        <v>1</v>
      </c>
      <c r="I66" s="131">
        <v>2</v>
      </c>
      <c r="J66" s="131">
        <v>1</v>
      </c>
      <c r="K66" s="131">
        <v>1</v>
      </c>
      <c r="L66" s="131"/>
      <c r="M66" s="131"/>
      <c r="N66" s="131">
        <v>4</v>
      </c>
      <c r="O66" s="131">
        <v>5</v>
      </c>
      <c r="P66" s="175"/>
      <c r="Q66" s="149"/>
      <c r="R66" s="149"/>
      <c r="S66" s="149"/>
      <c r="T66" s="149"/>
      <c r="U66" s="149"/>
    </row>
    <row r="67" spans="1:21" ht="21">
      <c r="A67" s="158" t="s">
        <v>377</v>
      </c>
      <c r="B67" s="177">
        <v>300</v>
      </c>
      <c r="C67" s="159"/>
      <c r="D67" s="174"/>
      <c r="E67" s="174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75"/>
      <c r="Q67" s="149"/>
      <c r="R67" s="149"/>
      <c r="S67" s="149"/>
      <c r="T67" s="149"/>
      <c r="U67" s="149"/>
    </row>
    <row r="68" spans="1:21" ht="21">
      <c r="A68" s="149" t="s">
        <v>373</v>
      </c>
      <c r="B68" s="177"/>
      <c r="C68" s="146">
        <v>20</v>
      </c>
      <c r="D68" s="146">
        <v>23</v>
      </c>
      <c r="E68" s="174"/>
      <c r="F68" s="131">
        <v>5</v>
      </c>
      <c r="G68" s="131">
        <v>1</v>
      </c>
      <c r="H68" s="131">
        <v>11</v>
      </c>
      <c r="I68" s="131">
        <v>19</v>
      </c>
      <c r="J68" s="131"/>
      <c r="K68" s="131"/>
      <c r="L68" s="131"/>
      <c r="M68" s="131"/>
      <c r="N68" s="131">
        <v>16</v>
      </c>
      <c r="O68" s="131">
        <v>20</v>
      </c>
      <c r="P68" s="175"/>
      <c r="Q68" s="149"/>
      <c r="R68" s="149"/>
      <c r="S68" s="149"/>
      <c r="T68" s="149"/>
      <c r="U68" s="149"/>
    </row>
    <row r="69" spans="1:21" ht="21">
      <c r="A69" s="149" t="s">
        <v>370</v>
      </c>
      <c r="B69" s="146"/>
      <c r="C69" s="146">
        <v>49</v>
      </c>
      <c r="D69" s="146">
        <v>46</v>
      </c>
      <c r="E69" s="174"/>
      <c r="F69" s="131">
        <v>13</v>
      </c>
      <c r="G69" s="131">
        <v>8</v>
      </c>
      <c r="H69" s="131">
        <v>10</v>
      </c>
      <c r="I69" s="131">
        <v>10</v>
      </c>
      <c r="J69" s="131">
        <v>11</v>
      </c>
      <c r="K69" s="131">
        <v>13</v>
      </c>
      <c r="L69" s="131">
        <v>8</v>
      </c>
      <c r="M69" s="131">
        <v>10</v>
      </c>
      <c r="N69" s="131">
        <v>41</v>
      </c>
      <c r="O69" s="131">
        <v>37</v>
      </c>
      <c r="P69" s="175"/>
      <c r="Q69" s="149"/>
      <c r="R69" s="149"/>
      <c r="S69" s="149"/>
      <c r="T69" s="149"/>
      <c r="U69" s="149"/>
    </row>
    <row r="70" spans="1:21" ht="21">
      <c r="A70" s="122" t="s">
        <v>371</v>
      </c>
      <c r="B70" s="149"/>
      <c r="C70" s="146">
        <v>18</v>
      </c>
      <c r="D70" s="146">
        <v>19</v>
      </c>
      <c r="E70" s="184"/>
      <c r="F70" s="146">
        <v>4</v>
      </c>
      <c r="G70" s="146">
        <v>1</v>
      </c>
      <c r="H70" s="146">
        <v>10</v>
      </c>
      <c r="I70" s="146">
        <v>14</v>
      </c>
      <c r="J70" s="146"/>
      <c r="K70" s="146"/>
      <c r="L70" s="146"/>
      <c r="M70" s="146"/>
      <c r="N70" s="146">
        <v>14</v>
      </c>
      <c r="O70" s="146">
        <v>15</v>
      </c>
      <c r="P70" s="149"/>
      <c r="Q70" s="149"/>
      <c r="R70" s="149"/>
      <c r="S70" s="149"/>
      <c r="T70" s="149"/>
      <c r="U70" s="149"/>
    </row>
    <row r="71" spans="1:21" ht="21">
      <c r="A71" s="185" t="s">
        <v>75</v>
      </c>
      <c r="B71" s="186"/>
      <c r="C71" s="187"/>
      <c r="D71" s="187"/>
      <c r="E71" s="187"/>
      <c r="F71" s="188"/>
      <c r="G71" s="188"/>
      <c r="H71" s="188"/>
      <c r="I71" s="188"/>
      <c r="J71" s="188"/>
      <c r="K71" s="188"/>
      <c r="L71" s="188"/>
      <c r="M71" s="188"/>
      <c r="N71" s="188"/>
      <c r="O71" s="187"/>
      <c r="P71" s="189"/>
      <c r="Q71" s="149"/>
      <c r="R71" s="149"/>
      <c r="S71" s="149"/>
      <c r="T71" s="149"/>
      <c r="U71" s="149"/>
    </row>
    <row r="72" spans="1:21" ht="21">
      <c r="A72" s="158" t="s">
        <v>368</v>
      </c>
      <c r="B72" s="182">
        <v>2000</v>
      </c>
      <c r="C72" s="187"/>
      <c r="D72" s="187"/>
      <c r="E72" s="187"/>
      <c r="F72" s="188"/>
      <c r="G72" s="188"/>
      <c r="H72" s="188"/>
      <c r="I72" s="188"/>
      <c r="J72" s="188"/>
      <c r="K72" s="188"/>
      <c r="L72" s="188"/>
      <c r="M72" s="188"/>
      <c r="N72" s="188"/>
      <c r="O72" s="187"/>
      <c r="P72" s="189"/>
      <c r="Q72" s="149"/>
      <c r="R72" s="149"/>
      <c r="S72" s="149"/>
      <c r="T72" s="149"/>
      <c r="U72" s="149"/>
    </row>
    <row r="73" spans="1:21" ht="21">
      <c r="A73" s="149" t="s">
        <v>378</v>
      </c>
      <c r="B73" s="182"/>
      <c r="C73" s="183">
        <v>47</v>
      </c>
      <c r="D73" s="183">
        <v>43</v>
      </c>
      <c r="E73" s="187"/>
      <c r="F73" s="190">
        <v>10</v>
      </c>
      <c r="G73" s="190">
        <v>15</v>
      </c>
      <c r="H73" s="190">
        <v>31</v>
      </c>
      <c r="I73" s="190">
        <v>33</v>
      </c>
      <c r="J73" s="190">
        <v>15</v>
      </c>
      <c r="K73" s="190">
        <v>21</v>
      </c>
      <c r="L73" s="190">
        <v>6</v>
      </c>
      <c r="M73" s="190">
        <v>9</v>
      </c>
      <c r="N73" s="190">
        <v>62</v>
      </c>
      <c r="O73" s="190">
        <v>78</v>
      </c>
      <c r="P73" s="189"/>
      <c r="Q73" s="149"/>
      <c r="R73" s="149"/>
      <c r="S73" s="149"/>
      <c r="T73" s="149"/>
      <c r="U73" s="149"/>
    </row>
    <row r="74" spans="1:21" ht="21">
      <c r="A74" s="149" t="s">
        <v>379</v>
      </c>
      <c r="B74" s="182"/>
      <c r="C74" s="183">
        <v>48</v>
      </c>
      <c r="D74" s="183">
        <v>45</v>
      </c>
      <c r="E74" s="187"/>
      <c r="F74" s="190">
        <v>5</v>
      </c>
      <c r="G74" s="190">
        <v>9</v>
      </c>
      <c r="H74" s="190">
        <v>38</v>
      </c>
      <c r="I74" s="190">
        <v>41</v>
      </c>
      <c r="J74" s="190">
        <v>22</v>
      </c>
      <c r="K74" s="190">
        <v>27</v>
      </c>
      <c r="L74" s="190">
        <v>4</v>
      </c>
      <c r="M74" s="190">
        <v>8</v>
      </c>
      <c r="N74" s="190">
        <v>69</v>
      </c>
      <c r="O74" s="190">
        <v>85</v>
      </c>
      <c r="P74" s="189"/>
      <c r="Q74" s="149"/>
      <c r="R74" s="149"/>
      <c r="S74" s="149"/>
      <c r="T74" s="149"/>
      <c r="U74" s="149"/>
    </row>
    <row r="75" spans="1:21" ht="21">
      <c r="A75" s="149" t="s">
        <v>380</v>
      </c>
      <c r="B75" s="182"/>
      <c r="C75" s="183">
        <v>46</v>
      </c>
      <c r="D75" s="183">
        <v>45</v>
      </c>
      <c r="E75" s="187"/>
      <c r="F75" s="179">
        <v>5</v>
      </c>
      <c r="G75" s="179">
        <v>9</v>
      </c>
      <c r="H75" s="179">
        <v>27</v>
      </c>
      <c r="I75" s="179">
        <v>29</v>
      </c>
      <c r="J75" s="179">
        <v>31</v>
      </c>
      <c r="K75" s="179">
        <v>33</v>
      </c>
      <c r="L75" s="179">
        <v>5</v>
      </c>
      <c r="M75" s="179">
        <v>5</v>
      </c>
      <c r="N75" s="142">
        <v>68</v>
      </c>
      <c r="O75" s="142">
        <v>76</v>
      </c>
      <c r="P75" s="189"/>
      <c r="Q75" s="149"/>
      <c r="R75" s="149"/>
      <c r="S75" s="149"/>
      <c r="T75" s="149"/>
      <c r="U75" s="149"/>
    </row>
    <row r="76" spans="1:21" ht="21">
      <c r="A76" s="149" t="s">
        <v>381</v>
      </c>
      <c r="B76" s="182"/>
      <c r="C76" s="183">
        <v>44</v>
      </c>
      <c r="D76" s="183">
        <v>45</v>
      </c>
      <c r="E76" s="187"/>
      <c r="F76" s="179">
        <v>15</v>
      </c>
      <c r="G76" s="179">
        <v>21</v>
      </c>
      <c r="H76" s="179">
        <v>33</v>
      </c>
      <c r="I76" s="179">
        <v>38</v>
      </c>
      <c r="J76" s="179">
        <v>37</v>
      </c>
      <c r="K76" s="179">
        <v>39</v>
      </c>
      <c r="L76" s="179">
        <v>10</v>
      </c>
      <c r="M76" s="179">
        <v>17</v>
      </c>
      <c r="N76" s="142">
        <v>95</v>
      </c>
      <c r="O76" s="142">
        <v>115</v>
      </c>
      <c r="P76" s="189"/>
      <c r="Q76" s="149"/>
      <c r="R76" s="149"/>
      <c r="S76" s="149"/>
      <c r="T76" s="149"/>
      <c r="U76" s="149"/>
    </row>
    <row r="77" spans="1:21" ht="21">
      <c r="A77" s="158" t="s">
        <v>372</v>
      </c>
      <c r="B77" s="182">
        <v>2000</v>
      </c>
      <c r="C77" s="187"/>
      <c r="D77" s="187"/>
      <c r="E77" s="187"/>
      <c r="F77" s="188"/>
      <c r="G77" s="188"/>
      <c r="H77" s="188"/>
      <c r="I77" s="188"/>
      <c r="J77" s="188"/>
      <c r="K77" s="188"/>
      <c r="L77" s="188"/>
      <c r="M77" s="188"/>
      <c r="N77" s="188"/>
      <c r="O77" s="187"/>
      <c r="P77" s="189"/>
      <c r="Q77" s="149"/>
      <c r="R77" s="149"/>
      <c r="S77" s="149"/>
      <c r="T77" s="149"/>
      <c r="U77" s="149"/>
    </row>
    <row r="78" spans="1:21" ht="21">
      <c r="A78" s="149" t="s">
        <v>382</v>
      </c>
      <c r="B78" s="182"/>
      <c r="C78" s="183">
        <v>23</v>
      </c>
      <c r="D78" s="183">
        <v>27</v>
      </c>
      <c r="E78" s="187"/>
      <c r="F78" s="187"/>
      <c r="G78" s="187"/>
      <c r="H78" s="187">
        <v>15</v>
      </c>
      <c r="I78" s="187">
        <v>5</v>
      </c>
      <c r="J78" s="187">
        <v>5</v>
      </c>
      <c r="K78" s="187">
        <v>3</v>
      </c>
      <c r="L78" s="187">
        <v>2</v>
      </c>
      <c r="M78" s="187"/>
      <c r="N78" s="183">
        <v>18</v>
      </c>
      <c r="O78" s="183">
        <v>12</v>
      </c>
      <c r="P78" s="189"/>
      <c r="Q78" s="149"/>
      <c r="R78" s="149"/>
      <c r="S78" s="149"/>
      <c r="T78" s="149"/>
      <c r="U78" s="149"/>
    </row>
    <row r="79" spans="1:21" ht="21">
      <c r="A79" s="149" t="s">
        <v>383</v>
      </c>
      <c r="B79" s="182"/>
      <c r="C79" s="183">
        <v>27</v>
      </c>
      <c r="D79" s="183">
        <v>28</v>
      </c>
      <c r="E79" s="187"/>
      <c r="F79" s="187"/>
      <c r="G79" s="187">
        <v>1</v>
      </c>
      <c r="H79" s="187">
        <v>16</v>
      </c>
      <c r="I79" s="187">
        <v>13</v>
      </c>
      <c r="J79" s="187">
        <v>6</v>
      </c>
      <c r="K79" s="187"/>
      <c r="L79" s="187"/>
      <c r="M79" s="187"/>
      <c r="N79" s="183">
        <v>22</v>
      </c>
      <c r="O79" s="183">
        <v>14</v>
      </c>
      <c r="P79" s="189"/>
      <c r="Q79" s="149"/>
      <c r="R79" s="149"/>
      <c r="S79" s="149"/>
      <c r="T79" s="149"/>
      <c r="U79" s="149"/>
    </row>
    <row r="80" spans="1:21" ht="21">
      <c r="A80" s="149" t="s">
        <v>384</v>
      </c>
      <c r="B80" s="182"/>
      <c r="C80" s="183">
        <v>21</v>
      </c>
      <c r="D80" s="183">
        <v>27</v>
      </c>
      <c r="E80" s="187"/>
      <c r="F80" s="187"/>
      <c r="G80" s="187">
        <v>10</v>
      </c>
      <c r="H80" s="187">
        <v>9</v>
      </c>
      <c r="I80" s="187">
        <v>4</v>
      </c>
      <c r="J80" s="187">
        <v>2</v>
      </c>
      <c r="K80" s="187"/>
      <c r="L80" s="187"/>
      <c r="M80" s="187"/>
      <c r="N80" s="183">
        <v>14</v>
      </c>
      <c r="O80" s="183">
        <v>11</v>
      </c>
      <c r="P80" s="189"/>
      <c r="Q80" s="149"/>
      <c r="R80" s="149"/>
      <c r="S80" s="149"/>
      <c r="T80" s="149"/>
      <c r="U80" s="149"/>
    </row>
    <row r="81" spans="1:21" ht="21">
      <c r="A81" s="149" t="s">
        <v>385</v>
      </c>
      <c r="B81" s="182"/>
      <c r="C81" s="183">
        <v>24</v>
      </c>
      <c r="D81" s="183">
        <v>31</v>
      </c>
      <c r="E81" s="187"/>
      <c r="F81" s="187">
        <v>2</v>
      </c>
      <c r="G81" s="187">
        <v>2</v>
      </c>
      <c r="H81" s="187">
        <v>10</v>
      </c>
      <c r="I81" s="187">
        <v>13</v>
      </c>
      <c r="J81" s="187">
        <v>6</v>
      </c>
      <c r="K81" s="187">
        <v>3</v>
      </c>
      <c r="L81" s="187">
        <v>1</v>
      </c>
      <c r="M81" s="187">
        <v>8</v>
      </c>
      <c r="N81" s="183">
        <v>18</v>
      </c>
      <c r="O81" s="183">
        <v>18</v>
      </c>
      <c r="P81" s="189"/>
      <c r="Q81" s="149"/>
      <c r="R81" s="149"/>
      <c r="S81" s="149"/>
      <c r="T81" s="149"/>
      <c r="U81" s="149"/>
    </row>
    <row r="82" spans="1:21" ht="21">
      <c r="A82" s="158" t="s">
        <v>374</v>
      </c>
      <c r="B82" s="182">
        <v>2000</v>
      </c>
      <c r="C82" s="191"/>
      <c r="D82" s="191"/>
      <c r="E82" s="187"/>
      <c r="F82" s="188"/>
      <c r="G82" s="188"/>
      <c r="H82" s="188"/>
      <c r="I82" s="188"/>
      <c r="J82" s="188"/>
      <c r="K82" s="188"/>
      <c r="L82" s="188"/>
      <c r="M82" s="188"/>
      <c r="N82" s="188"/>
      <c r="O82" s="187"/>
      <c r="P82" s="189"/>
      <c r="Q82" s="149"/>
      <c r="R82" s="149"/>
      <c r="S82" s="149"/>
      <c r="T82" s="149"/>
      <c r="U82" s="149"/>
    </row>
    <row r="83" spans="1:21" ht="21">
      <c r="A83" s="149" t="s">
        <v>386</v>
      </c>
      <c r="B83" s="182"/>
      <c r="C83" s="146">
        <v>68</v>
      </c>
      <c r="D83" s="146">
        <v>88</v>
      </c>
      <c r="E83" s="187"/>
      <c r="F83" s="187">
        <v>10</v>
      </c>
      <c r="G83" s="187">
        <v>30</v>
      </c>
      <c r="H83" s="187">
        <v>30</v>
      </c>
      <c r="I83" s="187">
        <v>43</v>
      </c>
      <c r="J83" s="187">
        <v>32</v>
      </c>
      <c r="K83" s="187">
        <v>18</v>
      </c>
      <c r="L83" s="187">
        <v>2</v>
      </c>
      <c r="M83" s="187"/>
      <c r="N83" s="183">
        <v>74</v>
      </c>
      <c r="O83" s="183">
        <v>89</v>
      </c>
      <c r="P83" s="189"/>
      <c r="Q83" s="149"/>
      <c r="R83" s="149"/>
      <c r="S83" s="149"/>
      <c r="T83" s="149"/>
      <c r="U83" s="149"/>
    </row>
    <row r="84" spans="1:21" ht="21">
      <c r="A84" s="149" t="s">
        <v>387</v>
      </c>
      <c r="B84" s="182"/>
      <c r="C84" s="146">
        <v>72</v>
      </c>
      <c r="D84" s="146">
        <v>80</v>
      </c>
      <c r="E84" s="187"/>
      <c r="F84" s="187">
        <v>22</v>
      </c>
      <c r="G84" s="187">
        <v>35</v>
      </c>
      <c r="H84" s="187">
        <v>25</v>
      </c>
      <c r="I84" s="187">
        <v>25</v>
      </c>
      <c r="J84" s="187">
        <v>23</v>
      </c>
      <c r="K84" s="187">
        <v>21</v>
      </c>
      <c r="L84" s="187">
        <v>1</v>
      </c>
      <c r="M84" s="187">
        <v>2</v>
      </c>
      <c r="N84" s="183">
        <v>71</v>
      </c>
      <c r="O84" s="183">
        <v>83</v>
      </c>
      <c r="P84" s="189"/>
      <c r="Q84" s="149"/>
      <c r="R84" s="149"/>
      <c r="S84" s="149"/>
      <c r="T84" s="149"/>
      <c r="U84" s="149"/>
    </row>
    <row r="85" spans="1:21" ht="21">
      <c r="A85" s="149" t="s">
        <v>388</v>
      </c>
      <c r="B85" s="182"/>
      <c r="C85" s="146">
        <v>77</v>
      </c>
      <c r="D85" s="146">
        <v>95</v>
      </c>
      <c r="E85" s="187"/>
      <c r="F85" s="187">
        <v>18</v>
      </c>
      <c r="G85" s="187">
        <v>35</v>
      </c>
      <c r="H85" s="187">
        <v>34</v>
      </c>
      <c r="I85" s="187">
        <v>37</v>
      </c>
      <c r="J85" s="187">
        <v>20</v>
      </c>
      <c r="K85" s="187">
        <v>32</v>
      </c>
      <c r="L85" s="187"/>
      <c r="M85" s="187"/>
      <c r="N85" s="183">
        <v>72</v>
      </c>
      <c r="O85" s="183">
        <v>98</v>
      </c>
      <c r="P85" s="189"/>
      <c r="Q85" s="149"/>
      <c r="R85" s="149"/>
      <c r="S85" s="149"/>
      <c r="T85" s="149"/>
      <c r="U85" s="149"/>
    </row>
    <row r="86" spans="1:21" ht="21">
      <c r="A86" s="149" t="s">
        <v>389</v>
      </c>
      <c r="B86" s="182"/>
      <c r="C86" s="146">
        <v>92</v>
      </c>
      <c r="D86" s="146">
        <v>67</v>
      </c>
      <c r="E86" s="187"/>
      <c r="F86" s="187">
        <v>15</v>
      </c>
      <c r="G86" s="187">
        <v>25</v>
      </c>
      <c r="H86" s="187">
        <v>35</v>
      </c>
      <c r="I86" s="187">
        <v>27</v>
      </c>
      <c r="J86" s="187">
        <v>34</v>
      </c>
      <c r="K86" s="187">
        <v>18</v>
      </c>
      <c r="L86" s="187">
        <v>4</v>
      </c>
      <c r="M86" s="187">
        <v>1</v>
      </c>
      <c r="N86" s="183">
        <v>88</v>
      </c>
      <c r="O86" s="183">
        <v>70</v>
      </c>
      <c r="P86" s="189"/>
      <c r="Q86" s="149"/>
      <c r="R86" s="149"/>
      <c r="S86" s="149"/>
      <c r="T86" s="149"/>
      <c r="U86" s="149"/>
    </row>
    <row r="87" spans="1:21" ht="21">
      <c r="A87" s="158" t="s">
        <v>376</v>
      </c>
      <c r="B87" s="192">
        <v>2000</v>
      </c>
      <c r="C87" s="188"/>
      <c r="D87" s="188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9"/>
      <c r="Q87" s="149"/>
      <c r="R87" s="149"/>
      <c r="S87" s="149"/>
      <c r="T87" s="149"/>
      <c r="U87" s="149"/>
    </row>
    <row r="88" spans="1:21" ht="21">
      <c r="A88" s="149" t="s">
        <v>390</v>
      </c>
      <c r="B88" s="192"/>
      <c r="C88" s="183">
        <v>24</v>
      </c>
      <c r="D88" s="183">
        <v>24</v>
      </c>
      <c r="E88" s="187"/>
      <c r="F88" s="183">
        <v>3</v>
      </c>
      <c r="G88" s="183">
        <v>5</v>
      </c>
      <c r="H88" s="183">
        <v>4</v>
      </c>
      <c r="I88" s="183">
        <v>5</v>
      </c>
      <c r="J88" s="183">
        <v>11</v>
      </c>
      <c r="K88" s="183">
        <v>8</v>
      </c>
      <c r="L88" s="183">
        <v>6</v>
      </c>
      <c r="M88" s="183">
        <v>5</v>
      </c>
      <c r="N88" s="183">
        <v>23</v>
      </c>
      <c r="O88" s="183">
        <v>24</v>
      </c>
      <c r="P88" s="189"/>
      <c r="Q88" s="149"/>
      <c r="R88" s="149"/>
      <c r="S88" s="149"/>
      <c r="T88" s="149"/>
      <c r="U88" s="149"/>
    </row>
    <row r="89" spans="1:21" ht="21">
      <c r="A89" s="149" t="s">
        <v>391</v>
      </c>
      <c r="B89" s="192"/>
      <c r="C89" s="183">
        <v>44</v>
      </c>
      <c r="D89" s="183">
        <v>57</v>
      </c>
      <c r="E89" s="187"/>
      <c r="F89" s="183">
        <v>4</v>
      </c>
      <c r="G89" s="183">
        <v>4</v>
      </c>
      <c r="H89" s="183">
        <v>12</v>
      </c>
      <c r="I89" s="183">
        <v>12</v>
      </c>
      <c r="J89" s="183">
        <v>18</v>
      </c>
      <c r="K89" s="183">
        <v>25</v>
      </c>
      <c r="L89" s="183">
        <v>10</v>
      </c>
      <c r="M89" s="183">
        <v>12</v>
      </c>
      <c r="N89" s="183">
        <v>44</v>
      </c>
      <c r="O89" s="183">
        <v>57</v>
      </c>
      <c r="P89" s="189"/>
      <c r="Q89" s="149"/>
      <c r="R89" s="149"/>
      <c r="S89" s="149"/>
      <c r="T89" s="149"/>
      <c r="U89" s="149"/>
    </row>
    <row r="90" spans="1:21" ht="21">
      <c r="A90" s="149" t="s">
        <v>392</v>
      </c>
      <c r="B90" s="192"/>
      <c r="C90" s="183">
        <v>48</v>
      </c>
      <c r="D90" s="183">
        <v>33</v>
      </c>
      <c r="E90" s="187"/>
      <c r="F90" s="183">
        <v>10</v>
      </c>
      <c r="G90" s="183">
        <v>12</v>
      </c>
      <c r="H90" s="183">
        <v>8</v>
      </c>
      <c r="I90" s="183">
        <v>6</v>
      </c>
      <c r="J90" s="183">
        <v>12</v>
      </c>
      <c r="K90" s="183">
        <v>15</v>
      </c>
      <c r="L90" s="183">
        <v>4</v>
      </c>
      <c r="M90" s="183">
        <v>5</v>
      </c>
      <c r="N90" s="183">
        <v>34</v>
      </c>
      <c r="O90" s="183">
        <v>38</v>
      </c>
      <c r="P90" s="189"/>
      <c r="Q90" s="149"/>
      <c r="R90" s="149"/>
      <c r="S90" s="149"/>
      <c r="T90" s="149"/>
      <c r="U90" s="149"/>
    </row>
    <row r="91" spans="1:21" ht="21">
      <c r="A91" s="149" t="s">
        <v>393</v>
      </c>
      <c r="B91" s="192"/>
      <c r="C91" s="183">
        <v>51</v>
      </c>
      <c r="D91" s="183">
        <v>62</v>
      </c>
      <c r="E91" s="187"/>
      <c r="F91" s="183">
        <v>15</v>
      </c>
      <c r="G91" s="183">
        <v>16</v>
      </c>
      <c r="H91" s="183">
        <v>14</v>
      </c>
      <c r="I91" s="183">
        <v>12</v>
      </c>
      <c r="J91" s="183">
        <v>10</v>
      </c>
      <c r="K91" s="183">
        <v>20</v>
      </c>
      <c r="L91" s="183">
        <v>12</v>
      </c>
      <c r="M91" s="183">
        <v>14</v>
      </c>
      <c r="N91" s="183">
        <v>62</v>
      </c>
      <c r="O91" s="183">
        <v>51</v>
      </c>
      <c r="P91" s="189"/>
      <c r="Q91" s="149"/>
      <c r="R91" s="149"/>
      <c r="S91" s="149"/>
      <c r="T91" s="149"/>
      <c r="U91" s="149"/>
    </row>
    <row r="92" spans="1:21" ht="21">
      <c r="A92" s="158" t="s">
        <v>377</v>
      </c>
      <c r="B92" s="192">
        <v>2000</v>
      </c>
      <c r="C92" s="188"/>
      <c r="D92" s="188"/>
      <c r="E92" s="187"/>
      <c r="F92" s="188"/>
      <c r="G92" s="188"/>
      <c r="H92" s="188"/>
      <c r="I92" s="188"/>
      <c r="J92" s="188"/>
      <c r="K92" s="188"/>
      <c r="L92" s="188"/>
      <c r="M92" s="188"/>
      <c r="N92" s="188"/>
      <c r="O92" s="187"/>
      <c r="P92" s="189"/>
      <c r="Q92" s="149"/>
      <c r="R92" s="149"/>
      <c r="S92" s="149"/>
      <c r="T92" s="149"/>
      <c r="U92" s="149"/>
    </row>
    <row r="93" spans="1:21" ht="21">
      <c r="A93" s="149" t="s">
        <v>394</v>
      </c>
      <c r="B93" s="186"/>
      <c r="C93" s="146">
        <v>43</v>
      </c>
      <c r="D93" s="146">
        <v>39</v>
      </c>
      <c r="E93" s="187"/>
      <c r="F93" s="183">
        <v>5</v>
      </c>
      <c r="G93" s="183">
        <v>6</v>
      </c>
      <c r="H93" s="183">
        <v>11</v>
      </c>
      <c r="I93" s="183">
        <v>10</v>
      </c>
      <c r="J93" s="183">
        <v>10</v>
      </c>
      <c r="K93" s="183">
        <v>11</v>
      </c>
      <c r="L93" s="183">
        <v>4</v>
      </c>
      <c r="M93" s="183">
        <v>3</v>
      </c>
      <c r="N93" s="183">
        <v>37</v>
      </c>
      <c r="O93" s="183">
        <v>29</v>
      </c>
      <c r="P93" s="189"/>
      <c r="Q93" s="149"/>
      <c r="R93" s="149"/>
      <c r="S93" s="149"/>
      <c r="T93" s="149"/>
      <c r="U93" s="149"/>
    </row>
    <row r="94" spans="1:21" ht="21">
      <c r="A94" s="149" t="s">
        <v>395</v>
      </c>
      <c r="B94" s="186"/>
      <c r="C94" s="146">
        <v>40</v>
      </c>
      <c r="D94" s="146">
        <v>43</v>
      </c>
      <c r="E94" s="187"/>
      <c r="F94" s="183">
        <v>4</v>
      </c>
      <c r="G94" s="183">
        <v>9</v>
      </c>
      <c r="H94" s="183">
        <v>6</v>
      </c>
      <c r="I94" s="183">
        <v>11</v>
      </c>
      <c r="J94" s="183">
        <v>10</v>
      </c>
      <c r="K94" s="183">
        <v>8</v>
      </c>
      <c r="L94" s="183">
        <v>8</v>
      </c>
      <c r="M94" s="183">
        <v>6</v>
      </c>
      <c r="N94" s="183">
        <v>29</v>
      </c>
      <c r="O94" s="183">
        <v>34</v>
      </c>
      <c r="P94" s="189"/>
      <c r="Q94" s="149"/>
      <c r="R94" s="149"/>
      <c r="S94" s="149"/>
      <c r="T94" s="149"/>
      <c r="U94" s="149"/>
    </row>
    <row r="95" spans="1:21" ht="21">
      <c r="A95" s="149" t="s">
        <v>396</v>
      </c>
      <c r="B95" s="186"/>
      <c r="C95" s="146">
        <v>34</v>
      </c>
      <c r="D95" s="146">
        <v>47</v>
      </c>
      <c r="E95" s="149"/>
      <c r="F95" s="146">
        <v>7</v>
      </c>
      <c r="G95" s="146">
        <v>9</v>
      </c>
      <c r="H95" s="146">
        <v>5</v>
      </c>
      <c r="I95" s="146">
        <v>6</v>
      </c>
      <c r="J95" s="146">
        <v>7</v>
      </c>
      <c r="K95" s="146">
        <v>12</v>
      </c>
      <c r="L95" s="146">
        <v>7</v>
      </c>
      <c r="M95" s="146">
        <v>13</v>
      </c>
      <c r="N95" s="146">
        <v>27</v>
      </c>
      <c r="O95" s="146">
        <v>36</v>
      </c>
      <c r="P95" s="149"/>
      <c r="Q95" s="149"/>
      <c r="R95" s="149"/>
      <c r="S95" s="149"/>
      <c r="T95" s="149"/>
      <c r="U95" s="149"/>
    </row>
    <row r="96" spans="1:21" ht="21">
      <c r="A96" s="149" t="s">
        <v>397</v>
      </c>
      <c r="B96" s="186"/>
      <c r="C96" s="146">
        <v>40</v>
      </c>
      <c r="D96" s="146">
        <v>58</v>
      </c>
      <c r="E96" s="149"/>
      <c r="F96" s="146">
        <v>4</v>
      </c>
      <c r="G96" s="146">
        <v>9</v>
      </c>
      <c r="H96" s="146">
        <v>10</v>
      </c>
      <c r="I96" s="146">
        <v>12</v>
      </c>
      <c r="J96" s="146">
        <v>11</v>
      </c>
      <c r="K96" s="146">
        <v>15</v>
      </c>
      <c r="L96" s="146">
        <v>12</v>
      </c>
      <c r="M96" s="146">
        <v>13</v>
      </c>
      <c r="N96" s="146">
        <v>34</v>
      </c>
      <c r="O96" s="146">
        <v>48</v>
      </c>
      <c r="P96" s="149"/>
      <c r="Q96" s="149"/>
      <c r="R96" s="149"/>
      <c r="S96" s="149"/>
      <c r="T96" s="149"/>
      <c r="U96" s="149"/>
    </row>
    <row r="97" spans="1:21" ht="21">
      <c r="A97" s="193" t="s">
        <v>77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49"/>
      <c r="P97" s="149"/>
      <c r="Q97" s="149"/>
      <c r="R97" s="149"/>
      <c r="S97" s="149"/>
      <c r="T97" s="149"/>
      <c r="U97" s="149"/>
    </row>
    <row r="98" spans="1:21" ht="21">
      <c r="A98" s="168" t="s">
        <v>78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</row>
    <row r="99" spans="1:21" ht="21">
      <c r="A99" s="168" t="s">
        <v>348</v>
      </c>
      <c r="B99" s="131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94"/>
      <c r="R99" s="130"/>
      <c r="S99" s="130"/>
      <c r="T99" s="130"/>
      <c r="U99" s="130"/>
    </row>
    <row r="100" spans="1:21" ht="21">
      <c r="A100" s="168" t="s">
        <v>349</v>
      </c>
      <c r="B100" s="141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95"/>
      <c r="Q100" s="194"/>
      <c r="R100" s="194"/>
      <c r="S100" s="135"/>
      <c r="T100" s="194"/>
      <c r="U100" s="195"/>
    </row>
    <row r="101" spans="1:21" ht="21">
      <c r="A101" s="196" t="s">
        <v>398</v>
      </c>
      <c r="B101" s="141"/>
      <c r="C101" s="130"/>
      <c r="D101" s="130"/>
      <c r="E101" s="130"/>
      <c r="F101" s="130"/>
      <c r="G101" s="130"/>
      <c r="H101" s="131">
        <v>10</v>
      </c>
      <c r="I101" s="131">
        <v>20</v>
      </c>
      <c r="J101" s="131"/>
      <c r="K101" s="131"/>
      <c r="L101" s="131"/>
      <c r="M101" s="131"/>
      <c r="N101" s="131">
        <v>10</v>
      </c>
      <c r="O101" s="131">
        <v>20</v>
      </c>
      <c r="P101" s="197"/>
      <c r="Q101" s="198"/>
      <c r="R101" s="199">
        <v>4000</v>
      </c>
      <c r="S101" s="199">
        <v>4000</v>
      </c>
      <c r="T101" s="194"/>
      <c r="U101" s="195"/>
    </row>
    <row r="102" spans="1:21" ht="21">
      <c r="A102" s="200" t="s">
        <v>399</v>
      </c>
      <c r="B102" s="141"/>
      <c r="C102" s="130"/>
      <c r="D102" s="130"/>
      <c r="E102" s="130"/>
      <c r="F102" s="130"/>
      <c r="G102" s="130"/>
      <c r="H102" s="131">
        <v>9</v>
      </c>
      <c r="I102" s="131">
        <v>4</v>
      </c>
      <c r="J102" s="131"/>
      <c r="K102" s="131"/>
      <c r="L102" s="131"/>
      <c r="M102" s="131"/>
      <c r="N102" s="131">
        <v>9</v>
      </c>
      <c r="O102" s="131">
        <v>4</v>
      </c>
      <c r="P102" s="197"/>
      <c r="Q102" s="198"/>
      <c r="R102" s="198"/>
      <c r="S102" s="199"/>
      <c r="T102" s="194"/>
      <c r="U102" s="195"/>
    </row>
    <row r="103" spans="1:21" ht="21">
      <c r="A103" s="168" t="s">
        <v>353</v>
      </c>
      <c r="B103" s="142">
        <v>354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201"/>
      <c r="R103" s="202"/>
      <c r="S103" s="202"/>
      <c r="T103" s="202"/>
      <c r="U103" s="132"/>
    </row>
    <row r="104" spans="1:21" ht="21">
      <c r="A104" s="130" t="s">
        <v>86</v>
      </c>
      <c r="B104" s="131">
        <v>20</v>
      </c>
      <c r="C104" s="130"/>
      <c r="D104" s="130"/>
      <c r="E104" s="130"/>
      <c r="F104" s="131">
        <v>1</v>
      </c>
      <c r="G104" s="131">
        <v>3</v>
      </c>
      <c r="H104" s="131"/>
      <c r="I104" s="131">
        <v>9</v>
      </c>
      <c r="J104" s="131">
        <v>4</v>
      </c>
      <c r="K104" s="131"/>
      <c r="L104" s="131"/>
      <c r="M104" s="131">
        <v>3</v>
      </c>
      <c r="N104" s="131">
        <v>10</v>
      </c>
      <c r="O104" s="131">
        <v>10</v>
      </c>
      <c r="P104" s="130"/>
      <c r="Q104" s="130"/>
      <c r="R104" s="130"/>
      <c r="S104" s="130"/>
      <c r="T104" s="130"/>
      <c r="U104" s="130"/>
    </row>
    <row r="105" spans="1:21" ht="21">
      <c r="A105" s="130" t="s">
        <v>87</v>
      </c>
      <c r="B105" s="131">
        <v>158</v>
      </c>
      <c r="C105" s="130"/>
      <c r="D105" s="130"/>
      <c r="E105" s="130"/>
      <c r="F105" s="131"/>
      <c r="G105" s="131">
        <v>25</v>
      </c>
      <c r="H105" s="131">
        <v>8</v>
      </c>
      <c r="I105" s="131"/>
      <c r="J105" s="131">
        <v>70</v>
      </c>
      <c r="K105" s="131">
        <v>53</v>
      </c>
      <c r="L105" s="131">
        <v>1</v>
      </c>
      <c r="M105" s="131"/>
      <c r="N105" s="131">
        <v>96</v>
      </c>
      <c r="O105" s="131">
        <v>62</v>
      </c>
      <c r="P105" s="130"/>
      <c r="Q105" s="130"/>
      <c r="R105" s="130"/>
      <c r="S105" s="130"/>
      <c r="T105" s="130"/>
      <c r="U105" s="130"/>
    </row>
    <row r="106" spans="1:21" ht="21">
      <c r="A106" s="130" t="s">
        <v>88</v>
      </c>
      <c r="B106" s="131">
        <v>176</v>
      </c>
      <c r="C106" s="130"/>
      <c r="D106" s="130"/>
      <c r="E106" s="130"/>
      <c r="F106" s="131">
        <v>1</v>
      </c>
      <c r="G106" s="131"/>
      <c r="H106" s="131"/>
      <c r="I106" s="131"/>
      <c r="J106" s="131">
        <v>100</v>
      </c>
      <c r="K106" s="131">
        <v>70</v>
      </c>
      <c r="L106" s="131">
        <v>5</v>
      </c>
      <c r="M106" s="131"/>
      <c r="N106" s="131">
        <v>101</v>
      </c>
      <c r="O106" s="131">
        <v>75</v>
      </c>
      <c r="P106" s="130"/>
      <c r="Q106" s="130"/>
      <c r="R106" s="130"/>
      <c r="S106" s="130"/>
      <c r="T106" s="130"/>
      <c r="U106" s="130"/>
    </row>
    <row r="107" spans="1:21" ht="21">
      <c r="A107" s="168" t="s">
        <v>354</v>
      </c>
      <c r="B107" s="131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</row>
    <row r="108" spans="1:21" ht="21">
      <c r="A108" s="130" t="s">
        <v>86</v>
      </c>
      <c r="B108" s="131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</row>
    <row r="109" spans="1:21" ht="21">
      <c r="A109" s="130" t="s">
        <v>87</v>
      </c>
      <c r="B109" s="131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</row>
    <row r="110" spans="1:21" ht="21">
      <c r="A110" s="130" t="s">
        <v>88</v>
      </c>
      <c r="B110" s="131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</row>
  </sheetData>
  <sheetProtection/>
  <mergeCells count="20">
    <mergeCell ref="A1:U1"/>
    <mergeCell ref="A2:U2"/>
    <mergeCell ref="A3:T3"/>
    <mergeCell ref="A4:A6"/>
    <mergeCell ref="B4:B6"/>
    <mergeCell ref="C4:D5"/>
    <mergeCell ref="E4:E5"/>
    <mergeCell ref="F4:M4"/>
    <mergeCell ref="N4:O5"/>
    <mergeCell ref="P4:P6"/>
    <mergeCell ref="B7:U7"/>
    <mergeCell ref="Q4:Q6"/>
    <mergeCell ref="R4:R6"/>
    <mergeCell ref="S4:S6"/>
    <mergeCell ref="T4:T6"/>
    <mergeCell ref="U4:U6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6">
      <selection activeCell="A12" sqref="A12"/>
    </sheetView>
  </sheetViews>
  <sheetFormatPr defaultColWidth="6.8515625" defaultRowHeight="15"/>
  <cols>
    <col min="1" max="1" width="45.421875" style="122" customWidth="1"/>
    <col min="2" max="2" width="8.421875" style="122" customWidth="1"/>
    <col min="3" max="3" width="6.57421875" style="122" customWidth="1"/>
    <col min="4" max="4" width="7.140625" style="122" customWidth="1"/>
    <col min="5" max="5" width="6.421875" style="122" customWidth="1"/>
    <col min="6" max="12" width="5.421875" style="122" customWidth="1"/>
    <col min="13" max="13" width="5.28125" style="122" customWidth="1"/>
    <col min="14" max="14" width="6.28125" style="122" customWidth="1"/>
    <col min="15" max="15" width="6.7109375" style="122" customWidth="1"/>
    <col min="16" max="16" width="6.28125" style="122" customWidth="1"/>
    <col min="17" max="18" width="10.421875" style="122" customWidth="1"/>
    <col min="19" max="19" width="8.8515625" style="122" customWidth="1"/>
    <col min="20" max="20" width="10.421875" style="122" customWidth="1"/>
    <col min="21" max="21" width="8.00390625" style="122" customWidth="1"/>
    <col min="22" max="22" width="10.421875" style="122" customWidth="1"/>
    <col min="23" max="16384" width="6.8515625" style="122" customWidth="1"/>
  </cols>
  <sheetData>
    <row r="1" spans="1:22" ht="23.2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2" ht="23.25">
      <c r="A2" s="371" t="s">
        <v>400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</row>
    <row r="3" spans="1:22" ht="23.25">
      <c r="A3" s="372" t="s">
        <v>401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</row>
    <row r="4" spans="1:24" s="204" customFormat="1" ht="71.25" customHeight="1">
      <c r="A4" s="373" t="s">
        <v>3</v>
      </c>
      <c r="B4" s="367" t="s">
        <v>4</v>
      </c>
      <c r="C4" s="375" t="s">
        <v>5</v>
      </c>
      <c r="D4" s="379"/>
      <c r="E4" s="376"/>
      <c r="F4" s="375" t="s">
        <v>6</v>
      </c>
      <c r="G4" s="379"/>
      <c r="H4" s="379"/>
      <c r="I4" s="379"/>
      <c r="J4" s="379"/>
      <c r="K4" s="379"/>
      <c r="L4" s="379"/>
      <c r="M4" s="376"/>
      <c r="N4" s="375" t="s">
        <v>7</v>
      </c>
      <c r="O4" s="379"/>
      <c r="P4" s="376"/>
      <c r="Q4" s="367" t="s">
        <v>8</v>
      </c>
      <c r="R4" s="367" t="s">
        <v>9</v>
      </c>
      <c r="S4" s="367" t="s">
        <v>10</v>
      </c>
      <c r="T4" s="367" t="s">
        <v>11</v>
      </c>
      <c r="U4" s="367" t="s">
        <v>12</v>
      </c>
      <c r="V4" s="367" t="s">
        <v>13</v>
      </c>
      <c r="W4" s="203"/>
      <c r="X4" s="203"/>
    </row>
    <row r="5" spans="1:24" s="204" customFormat="1" ht="28.5" customHeight="1">
      <c r="A5" s="374"/>
      <c r="B5" s="368"/>
      <c r="C5" s="377"/>
      <c r="D5" s="380"/>
      <c r="E5" s="378"/>
      <c r="F5" s="370" t="s">
        <v>14</v>
      </c>
      <c r="G5" s="370"/>
      <c r="H5" s="370" t="s">
        <v>15</v>
      </c>
      <c r="I5" s="370"/>
      <c r="J5" s="370" t="s">
        <v>16</v>
      </c>
      <c r="K5" s="370"/>
      <c r="L5" s="370" t="s">
        <v>17</v>
      </c>
      <c r="M5" s="370"/>
      <c r="N5" s="381"/>
      <c r="O5" s="382"/>
      <c r="P5" s="383"/>
      <c r="Q5" s="368"/>
      <c r="R5" s="368"/>
      <c r="S5" s="368"/>
      <c r="T5" s="368"/>
      <c r="U5" s="368"/>
      <c r="V5" s="368"/>
      <c r="W5" s="203"/>
      <c r="X5" s="203"/>
    </row>
    <row r="6" spans="1:22" s="204" customFormat="1" ht="24" customHeight="1">
      <c r="A6" s="374"/>
      <c r="B6" s="369"/>
      <c r="C6" s="123" t="s">
        <v>18</v>
      </c>
      <c r="D6" s="123" t="s">
        <v>19</v>
      </c>
      <c r="E6" s="124" t="s">
        <v>20</v>
      </c>
      <c r="F6" s="123" t="s">
        <v>18</v>
      </c>
      <c r="G6" s="123" t="s">
        <v>19</v>
      </c>
      <c r="H6" s="123" t="s">
        <v>18</v>
      </c>
      <c r="I6" s="123" t="s">
        <v>19</v>
      </c>
      <c r="J6" s="123" t="s">
        <v>18</v>
      </c>
      <c r="K6" s="123" t="s">
        <v>19</v>
      </c>
      <c r="L6" s="123" t="s">
        <v>18</v>
      </c>
      <c r="M6" s="123" t="s">
        <v>19</v>
      </c>
      <c r="N6" s="123" t="s">
        <v>18</v>
      </c>
      <c r="O6" s="123" t="s">
        <v>19</v>
      </c>
      <c r="P6" s="123" t="s">
        <v>21</v>
      </c>
      <c r="Q6" s="369"/>
      <c r="R6" s="369"/>
      <c r="S6" s="369"/>
      <c r="T6" s="369"/>
      <c r="U6" s="369"/>
      <c r="V6" s="369"/>
    </row>
    <row r="7" spans="1:22" s="204" customFormat="1" ht="24" customHeight="1">
      <c r="A7" s="125" t="s">
        <v>22</v>
      </c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6"/>
    </row>
    <row r="8" spans="1:22" s="207" customFormat="1" ht="26.25" customHeight="1">
      <c r="A8" s="126" t="s">
        <v>23</v>
      </c>
      <c r="B8" s="127"/>
      <c r="C8" s="205"/>
      <c r="D8" s="127"/>
      <c r="E8" s="206"/>
      <c r="F8" s="205"/>
      <c r="G8" s="127"/>
      <c r="H8" s="205"/>
      <c r="I8" s="127"/>
      <c r="J8" s="205"/>
      <c r="K8" s="127"/>
      <c r="L8" s="205"/>
      <c r="M8" s="127"/>
      <c r="N8" s="205"/>
      <c r="O8" s="127"/>
      <c r="P8" s="206"/>
      <c r="Q8" s="127"/>
      <c r="R8" s="128"/>
      <c r="S8" s="128"/>
      <c r="T8" s="128"/>
      <c r="U8" s="128"/>
      <c r="V8" s="128"/>
    </row>
    <row r="9" spans="1:22" s="165" customFormat="1" ht="21">
      <c r="A9" s="129" t="s">
        <v>24</v>
      </c>
      <c r="B9" s="131">
        <v>15</v>
      </c>
      <c r="C9" s="208">
        <f>SUM(C10:C12)</f>
        <v>0</v>
      </c>
      <c r="D9" s="208">
        <f aca="true" t="shared" si="0" ref="D9:M9">SUM(D10:D12)</f>
        <v>0</v>
      </c>
      <c r="E9" s="208">
        <f t="shared" si="0"/>
        <v>0</v>
      </c>
      <c r="F9" s="208">
        <f t="shared" si="0"/>
        <v>0</v>
      </c>
      <c r="G9" s="208">
        <f t="shared" si="0"/>
        <v>0</v>
      </c>
      <c r="H9" s="208">
        <f t="shared" si="0"/>
        <v>1</v>
      </c>
      <c r="I9" s="208">
        <f t="shared" si="0"/>
        <v>2</v>
      </c>
      <c r="J9" s="208">
        <f t="shared" si="0"/>
        <v>3</v>
      </c>
      <c r="K9" s="208">
        <f t="shared" si="0"/>
        <v>9</v>
      </c>
      <c r="L9" s="208">
        <f t="shared" si="0"/>
        <v>0</v>
      </c>
      <c r="M9" s="208">
        <f t="shared" si="0"/>
        <v>1</v>
      </c>
      <c r="N9" s="208">
        <f>(C9+F9+H9+J9+L9)</f>
        <v>4</v>
      </c>
      <c r="O9" s="130">
        <f>(D9+G9+I9+K9+M9)</f>
        <v>12</v>
      </c>
      <c r="P9" s="209">
        <f>(N9+O9)</f>
        <v>16</v>
      </c>
      <c r="Q9" s="210">
        <f>(P9*100)/B9</f>
        <v>106.66666666666667</v>
      </c>
      <c r="R9" s="169">
        <v>8250</v>
      </c>
      <c r="S9" s="169">
        <f>SUM(S10:S12)</f>
        <v>8250</v>
      </c>
      <c r="T9" s="169">
        <f>SUM(T10:T12)</f>
        <v>0</v>
      </c>
      <c r="U9" s="130">
        <f>(S9+T9)</f>
        <v>8250</v>
      </c>
      <c r="V9" s="211">
        <f>(U9*100)/R9</f>
        <v>100</v>
      </c>
    </row>
    <row r="10" spans="1:22" s="165" customFormat="1" ht="21">
      <c r="A10" s="159" t="s">
        <v>402</v>
      </c>
      <c r="B10" s="131">
        <v>5</v>
      </c>
      <c r="C10" s="208"/>
      <c r="D10" s="130"/>
      <c r="E10" s="209">
        <f>(C10+D10)</f>
        <v>0</v>
      </c>
      <c r="F10" s="208"/>
      <c r="G10" s="130"/>
      <c r="H10" s="208"/>
      <c r="I10" s="130"/>
      <c r="J10" s="208">
        <v>1</v>
      </c>
      <c r="K10" s="130">
        <v>3</v>
      </c>
      <c r="L10" s="208"/>
      <c r="M10" s="130">
        <v>1</v>
      </c>
      <c r="N10" s="208">
        <f aca="true" t="shared" si="1" ref="N10:O12">(C10+F10+H10+J10+L10)</f>
        <v>1</v>
      </c>
      <c r="O10" s="130">
        <f t="shared" si="1"/>
        <v>4</v>
      </c>
      <c r="P10" s="209">
        <f>(N10+O10)</f>
        <v>5</v>
      </c>
      <c r="Q10" s="210">
        <f>(P10*100)/B10</f>
        <v>100</v>
      </c>
      <c r="R10" s="169"/>
      <c r="S10" s="32">
        <v>3475</v>
      </c>
      <c r="T10" s="32"/>
      <c r="U10" s="130"/>
      <c r="V10" s="211"/>
    </row>
    <row r="11" spans="1:22" s="165" customFormat="1" ht="21">
      <c r="A11" s="159" t="s">
        <v>403</v>
      </c>
      <c r="B11" s="131">
        <v>5</v>
      </c>
      <c r="C11" s="208"/>
      <c r="D11" s="130"/>
      <c r="E11" s="209">
        <f>(C11+D11)</f>
        <v>0</v>
      </c>
      <c r="F11" s="208"/>
      <c r="G11" s="130"/>
      <c r="H11" s="208"/>
      <c r="I11" s="130"/>
      <c r="J11" s="208">
        <v>2</v>
      </c>
      <c r="K11" s="130">
        <v>4</v>
      </c>
      <c r="L11" s="208"/>
      <c r="M11" s="130"/>
      <c r="N11" s="208">
        <f t="shared" si="1"/>
        <v>2</v>
      </c>
      <c r="O11" s="130">
        <f t="shared" si="1"/>
        <v>4</v>
      </c>
      <c r="P11" s="209">
        <f>(N11+O11)</f>
        <v>6</v>
      </c>
      <c r="Q11" s="210">
        <f>(P11*100)/B11</f>
        <v>120</v>
      </c>
      <c r="R11" s="169"/>
      <c r="S11" s="130"/>
      <c r="T11" s="130"/>
      <c r="U11" s="130"/>
      <c r="V11" s="211"/>
    </row>
    <row r="12" spans="1:22" s="165" customFormat="1" ht="21">
      <c r="A12" s="159" t="s">
        <v>404</v>
      </c>
      <c r="B12" s="131">
        <v>5</v>
      </c>
      <c r="C12" s="208"/>
      <c r="D12" s="130"/>
      <c r="E12" s="209">
        <f>(C12+D12)</f>
        <v>0</v>
      </c>
      <c r="F12" s="208"/>
      <c r="G12" s="130"/>
      <c r="H12" s="208">
        <v>1</v>
      </c>
      <c r="I12" s="130">
        <v>2</v>
      </c>
      <c r="J12" s="208"/>
      <c r="K12" s="130">
        <v>2</v>
      </c>
      <c r="L12" s="208"/>
      <c r="M12" s="130"/>
      <c r="N12" s="208">
        <f t="shared" si="1"/>
        <v>1</v>
      </c>
      <c r="O12" s="130">
        <f t="shared" si="1"/>
        <v>4</v>
      </c>
      <c r="P12" s="209">
        <f>(N12+O12)</f>
        <v>5</v>
      </c>
      <c r="Q12" s="210">
        <f>(P12*100)/B12</f>
        <v>100</v>
      </c>
      <c r="R12" s="169"/>
      <c r="S12" s="32">
        <v>4775</v>
      </c>
      <c r="T12" s="32"/>
      <c r="U12" s="130"/>
      <c r="V12" s="211"/>
    </row>
    <row r="13" spans="1:22" s="165" customFormat="1" ht="21">
      <c r="A13" s="21" t="s">
        <v>405</v>
      </c>
      <c r="B13" s="131"/>
      <c r="C13" s="208"/>
      <c r="D13" s="130"/>
      <c r="E13" s="209"/>
      <c r="F13" s="208"/>
      <c r="G13" s="130"/>
      <c r="H13" s="208"/>
      <c r="I13" s="130"/>
      <c r="J13" s="208"/>
      <c r="K13" s="130"/>
      <c r="L13" s="208"/>
      <c r="M13" s="130"/>
      <c r="N13" s="208"/>
      <c r="O13" s="130"/>
      <c r="P13" s="209"/>
      <c r="Q13" s="130"/>
      <c r="R13" s="130"/>
      <c r="S13" s="130"/>
      <c r="T13" s="130"/>
      <c r="U13" s="130"/>
      <c r="V13" s="130"/>
    </row>
    <row r="14" spans="1:22" s="165" customFormat="1" ht="21">
      <c r="A14" s="21" t="s">
        <v>406</v>
      </c>
      <c r="B14" s="131">
        <v>55</v>
      </c>
      <c r="C14" s="208">
        <f>SUM(C15:C17)</f>
        <v>0</v>
      </c>
      <c r="D14" s="208">
        <f aca="true" t="shared" si="2" ref="D14:M14">SUM(D15:D17)</f>
        <v>0</v>
      </c>
      <c r="E14" s="208">
        <f t="shared" si="2"/>
        <v>0</v>
      </c>
      <c r="F14" s="208">
        <f t="shared" si="2"/>
        <v>0</v>
      </c>
      <c r="G14" s="208">
        <f t="shared" si="2"/>
        <v>0</v>
      </c>
      <c r="H14" s="208">
        <f t="shared" si="2"/>
        <v>0</v>
      </c>
      <c r="I14" s="208">
        <f t="shared" si="2"/>
        <v>0</v>
      </c>
      <c r="J14" s="208">
        <f t="shared" si="2"/>
        <v>0</v>
      </c>
      <c r="K14" s="208">
        <f t="shared" si="2"/>
        <v>0</v>
      </c>
      <c r="L14" s="208">
        <f t="shared" si="2"/>
        <v>0</v>
      </c>
      <c r="M14" s="208">
        <f t="shared" si="2"/>
        <v>0</v>
      </c>
      <c r="N14" s="208">
        <f>(C14+F14+H14+J14+L14)</f>
        <v>0</v>
      </c>
      <c r="O14" s="130">
        <f>(D14+G14+I14+K14+M14)</f>
        <v>0</v>
      </c>
      <c r="P14" s="209">
        <f aca="true" t="shared" si="3" ref="P14:P19">(N14+O14)</f>
        <v>0</v>
      </c>
      <c r="Q14" s="210">
        <f aca="true" t="shared" si="4" ref="Q14:Q19">(P14*100)/B14</f>
        <v>0</v>
      </c>
      <c r="R14" s="169">
        <f>SUM(R15:R17)</f>
        <v>0</v>
      </c>
      <c r="S14" s="169">
        <f>SUM(S15:S17)</f>
        <v>0</v>
      </c>
      <c r="T14" s="130">
        <f>SUM(T15:T17)</f>
        <v>0</v>
      </c>
      <c r="U14" s="130">
        <f>(S14+T14)</f>
        <v>0</v>
      </c>
      <c r="V14" s="211" t="e">
        <f>(U14*100)/R14</f>
        <v>#DIV/0!</v>
      </c>
    </row>
    <row r="15" spans="1:22" s="165" customFormat="1" ht="21">
      <c r="A15" s="136"/>
      <c r="B15" s="131"/>
      <c r="C15" s="208"/>
      <c r="D15" s="130"/>
      <c r="E15" s="209">
        <f>(C15+D15)</f>
        <v>0</v>
      </c>
      <c r="F15" s="208"/>
      <c r="G15" s="130"/>
      <c r="H15" s="208"/>
      <c r="I15" s="130"/>
      <c r="J15" s="208"/>
      <c r="K15" s="130"/>
      <c r="L15" s="208"/>
      <c r="M15" s="130"/>
      <c r="N15" s="208">
        <f>(C15+F15+H15+J15+L15)</f>
        <v>0</v>
      </c>
      <c r="O15" s="130">
        <f>(D15+G15+I15+K15+M15)</f>
        <v>0</v>
      </c>
      <c r="P15" s="209">
        <f t="shared" si="3"/>
        <v>0</v>
      </c>
      <c r="Q15" s="210" t="e">
        <f t="shared" si="4"/>
        <v>#DIV/0!</v>
      </c>
      <c r="R15" s="169"/>
      <c r="S15" s="169"/>
      <c r="T15" s="169"/>
      <c r="U15" s="130"/>
      <c r="V15" s="130"/>
    </row>
    <row r="16" spans="1:22" s="165" customFormat="1" ht="21">
      <c r="A16" s="136"/>
      <c r="B16" s="131"/>
      <c r="C16" s="208"/>
      <c r="D16" s="130"/>
      <c r="E16" s="209">
        <f>(C16+D16)</f>
        <v>0</v>
      </c>
      <c r="F16" s="208"/>
      <c r="G16" s="130"/>
      <c r="H16" s="208"/>
      <c r="I16" s="130"/>
      <c r="J16" s="208"/>
      <c r="K16" s="130"/>
      <c r="L16" s="208"/>
      <c r="M16" s="130"/>
      <c r="N16" s="208">
        <f aca="true" t="shared" si="5" ref="N16:O18">(C16+F16+H16+J16+L16)</f>
        <v>0</v>
      </c>
      <c r="O16" s="130">
        <f t="shared" si="5"/>
        <v>0</v>
      </c>
      <c r="P16" s="209">
        <f t="shared" si="3"/>
        <v>0</v>
      </c>
      <c r="Q16" s="210" t="e">
        <f t="shared" si="4"/>
        <v>#DIV/0!</v>
      </c>
      <c r="R16" s="169"/>
      <c r="S16" s="169"/>
      <c r="T16" s="169"/>
      <c r="U16" s="130"/>
      <c r="V16" s="130"/>
    </row>
    <row r="17" spans="1:22" s="165" customFormat="1" ht="21">
      <c r="A17" s="136"/>
      <c r="B17" s="131"/>
      <c r="C17" s="208"/>
      <c r="D17" s="130"/>
      <c r="E17" s="209">
        <f>(C17+D17)</f>
        <v>0</v>
      </c>
      <c r="F17" s="208"/>
      <c r="G17" s="130"/>
      <c r="H17" s="208"/>
      <c r="I17" s="130"/>
      <c r="J17" s="208"/>
      <c r="K17" s="130"/>
      <c r="L17" s="208"/>
      <c r="M17" s="130"/>
      <c r="N17" s="208">
        <f t="shared" si="5"/>
        <v>0</v>
      </c>
      <c r="O17" s="130">
        <f t="shared" si="5"/>
        <v>0</v>
      </c>
      <c r="P17" s="209">
        <f t="shared" si="3"/>
        <v>0</v>
      </c>
      <c r="Q17" s="210" t="e">
        <f t="shared" si="4"/>
        <v>#DIV/0!</v>
      </c>
      <c r="R17" s="169"/>
      <c r="S17" s="169"/>
      <c r="T17" s="169"/>
      <c r="U17" s="130"/>
      <c r="V17" s="130"/>
    </row>
    <row r="18" spans="1:22" s="165" customFormat="1" ht="21">
      <c r="A18" s="164" t="s">
        <v>407</v>
      </c>
      <c r="B18" s="212">
        <f>SUM(B19:B25)</f>
        <v>124</v>
      </c>
      <c r="C18" s="208">
        <f>SUM(C19:C25)</f>
        <v>41</v>
      </c>
      <c r="D18" s="208">
        <f>SUM(D19:D25)</f>
        <v>83</v>
      </c>
      <c r="E18" s="208">
        <f>SUM(E19:E25)</f>
        <v>124</v>
      </c>
      <c r="F18" s="208">
        <f>SUM(F19:F25)</f>
        <v>0</v>
      </c>
      <c r="G18" s="208">
        <f aca="true" t="shared" si="6" ref="G18:M18">SUM(G19:G25)</f>
        <v>0</v>
      </c>
      <c r="H18" s="208">
        <f t="shared" si="6"/>
        <v>0</v>
      </c>
      <c r="I18" s="208">
        <f t="shared" si="6"/>
        <v>0</v>
      </c>
      <c r="J18" s="208">
        <f t="shared" si="6"/>
        <v>0</v>
      </c>
      <c r="K18" s="208">
        <f t="shared" si="6"/>
        <v>0</v>
      </c>
      <c r="L18" s="208">
        <f t="shared" si="6"/>
        <v>0</v>
      </c>
      <c r="M18" s="208">
        <f t="shared" si="6"/>
        <v>0</v>
      </c>
      <c r="N18" s="208">
        <f t="shared" si="5"/>
        <v>41</v>
      </c>
      <c r="O18" s="130">
        <f t="shared" si="5"/>
        <v>83</v>
      </c>
      <c r="P18" s="209">
        <f t="shared" si="3"/>
        <v>124</v>
      </c>
      <c r="Q18" s="210">
        <f t="shared" si="4"/>
        <v>100</v>
      </c>
      <c r="R18" s="169">
        <f>SUM(R19:R32)</f>
        <v>180000</v>
      </c>
      <c r="S18" s="169">
        <f>SUM(S19:S32)</f>
        <v>118480</v>
      </c>
      <c r="T18" s="169">
        <f>SUM(T19:T32)</f>
        <v>0</v>
      </c>
      <c r="U18" s="130">
        <f>(S18+T18)</f>
        <v>118480</v>
      </c>
      <c r="V18" s="211">
        <f>(U18*100)/R18</f>
        <v>65.82222222222222</v>
      </c>
    </row>
    <row r="19" spans="1:22" s="165" customFormat="1" ht="21">
      <c r="A19" s="136" t="s">
        <v>408</v>
      </c>
      <c r="B19" s="131">
        <v>16</v>
      </c>
      <c r="C19" s="208">
        <v>7</v>
      </c>
      <c r="D19" s="130">
        <v>9</v>
      </c>
      <c r="E19" s="209">
        <f aca="true" t="shared" si="7" ref="E19:E26">(C19+D19)</f>
        <v>16</v>
      </c>
      <c r="F19" s="208"/>
      <c r="G19" s="130"/>
      <c r="H19" s="208"/>
      <c r="I19" s="130"/>
      <c r="J19" s="208"/>
      <c r="K19" s="130"/>
      <c r="L19" s="208"/>
      <c r="M19" s="130"/>
      <c r="N19" s="208">
        <f>(C19+F19+H19+J19+L19)</f>
        <v>7</v>
      </c>
      <c r="O19" s="130">
        <f>(D19+G19+I19+K19+M19)</f>
        <v>9</v>
      </c>
      <c r="P19" s="209">
        <f t="shared" si="3"/>
        <v>16</v>
      </c>
      <c r="Q19" s="210">
        <f t="shared" si="4"/>
        <v>100</v>
      </c>
      <c r="R19" s="169">
        <v>12260</v>
      </c>
      <c r="S19" s="169">
        <v>12260</v>
      </c>
      <c r="T19" s="169"/>
      <c r="U19" s="130"/>
      <c r="V19" s="130"/>
    </row>
    <row r="20" spans="1:22" s="165" customFormat="1" ht="21">
      <c r="A20" s="136" t="s">
        <v>409</v>
      </c>
      <c r="B20" s="131">
        <v>17</v>
      </c>
      <c r="C20" s="208">
        <v>0</v>
      </c>
      <c r="D20" s="130">
        <v>17</v>
      </c>
      <c r="E20" s="209">
        <f t="shared" si="7"/>
        <v>17</v>
      </c>
      <c r="F20" s="208"/>
      <c r="G20" s="130"/>
      <c r="H20" s="208"/>
      <c r="I20" s="130"/>
      <c r="J20" s="208"/>
      <c r="K20" s="130"/>
      <c r="L20" s="208"/>
      <c r="M20" s="130"/>
      <c r="N20" s="208">
        <f aca="true" t="shared" si="8" ref="N20:O46">(C20+F20+H20+J20+L20)</f>
        <v>0</v>
      </c>
      <c r="O20" s="130">
        <f t="shared" si="8"/>
        <v>17</v>
      </c>
      <c r="P20" s="209">
        <f aca="true" t="shared" si="9" ref="P20:P33">(N20+O20)</f>
        <v>17</v>
      </c>
      <c r="Q20" s="210">
        <f aca="true" t="shared" si="10" ref="Q20:Q33">(P20*100)/B20</f>
        <v>100</v>
      </c>
      <c r="R20" s="169">
        <v>8500</v>
      </c>
      <c r="S20" s="169">
        <v>8500</v>
      </c>
      <c r="T20" s="169"/>
      <c r="U20" s="130"/>
      <c r="V20" s="130"/>
    </row>
    <row r="21" spans="1:22" s="165" customFormat="1" ht="21">
      <c r="A21" s="136" t="s">
        <v>410</v>
      </c>
      <c r="B21" s="131">
        <v>18</v>
      </c>
      <c r="C21" s="208">
        <v>6</v>
      </c>
      <c r="D21" s="130">
        <v>12</v>
      </c>
      <c r="E21" s="209">
        <f t="shared" si="7"/>
        <v>18</v>
      </c>
      <c r="F21" s="208"/>
      <c r="G21" s="130"/>
      <c r="H21" s="208"/>
      <c r="I21" s="130"/>
      <c r="J21" s="208"/>
      <c r="K21" s="130"/>
      <c r="L21" s="208"/>
      <c r="M21" s="130"/>
      <c r="N21" s="208">
        <f t="shared" si="8"/>
        <v>6</v>
      </c>
      <c r="O21" s="130">
        <f t="shared" si="8"/>
        <v>12</v>
      </c>
      <c r="P21" s="209">
        <f t="shared" si="9"/>
        <v>18</v>
      </c>
      <c r="Q21" s="210">
        <f t="shared" si="10"/>
        <v>100</v>
      </c>
      <c r="R21" s="169">
        <v>12260</v>
      </c>
      <c r="S21" s="169">
        <v>12260</v>
      </c>
      <c r="T21" s="169"/>
      <c r="U21" s="130"/>
      <c r="V21" s="130"/>
    </row>
    <row r="22" spans="1:22" s="165" customFormat="1" ht="21">
      <c r="A22" s="136" t="s">
        <v>411</v>
      </c>
      <c r="B22" s="131">
        <v>15</v>
      </c>
      <c r="C22" s="208">
        <v>8</v>
      </c>
      <c r="D22" s="130">
        <v>7</v>
      </c>
      <c r="E22" s="209">
        <f t="shared" si="7"/>
        <v>15</v>
      </c>
      <c r="F22" s="208"/>
      <c r="G22" s="130"/>
      <c r="H22" s="208"/>
      <c r="I22" s="130"/>
      <c r="J22" s="208"/>
      <c r="K22" s="130"/>
      <c r="L22" s="208"/>
      <c r="M22" s="130"/>
      <c r="N22" s="208">
        <f t="shared" si="8"/>
        <v>8</v>
      </c>
      <c r="O22" s="130">
        <f t="shared" si="8"/>
        <v>7</v>
      </c>
      <c r="P22" s="209">
        <f t="shared" si="9"/>
        <v>15</v>
      </c>
      <c r="Q22" s="210">
        <f t="shared" si="10"/>
        <v>100</v>
      </c>
      <c r="R22" s="169">
        <v>12260</v>
      </c>
      <c r="S22" s="169">
        <v>12260</v>
      </c>
      <c r="T22" s="169"/>
      <c r="U22" s="130"/>
      <c r="V22" s="130"/>
    </row>
    <row r="23" spans="1:22" s="165" customFormat="1" ht="21">
      <c r="A23" s="136" t="s">
        <v>412</v>
      </c>
      <c r="B23" s="131">
        <v>17</v>
      </c>
      <c r="C23" s="208">
        <v>3</v>
      </c>
      <c r="D23" s="130">
        <v>14</v>
      </c>
      <c r="E23" s="209">
        <f t="shared" si="7"/>
        <v>17</v>
      </c>
      <c r="F23" s="208"/>
      <c r="G23" s="130"/>
      <c r="H23" s="208"/>
      <c r="I23" s="130"/>
      <c r="J23" s="208"/>
      <c r="K23" s="130"/>
      <c r="L23" s="208"/>
      <c r="M23" s="130"/>
      <c r="N23" s="208">
        <f t="shared" si="8"/>
        <v>3</v>
      </c>
      <c r="O23" s="130">
        <f t="shared" si="8"/>
        <v>14</v>
      </c>
      <c r="P23" s="209">
        <f t="shared" si="9"/>
        <v>17</v>
      </c>
      <c r="Q23" s="210">
        <f t="shared" si="10"/>
        <v>100</v>
      </c>
      <c r="R23" s="169">
        <v>12260</v>
      </c>
      <c r="S23" s="169">
        <v>12260</v>
      </c>
      <c r="T23" s="169"/>
      <c r="U23" s="130"/>
      <c r="V23" s="130"/>
    </row>
    <row r="24" spans="1:22" s="165" customFormat="1" ht="21">
      <c r="A24" s="136" t="s">
        <v>413</v>
      </c>
      <c r="B24" s="131">
        <v>16</v>
      </c>
      <c r="C24" s="208">
        <v>14</v>
      </c>
      <c r="D24" s="130">
        <v>2</v>
      </c>
      <c r="E24" s="209">
        <f t="shared" si="7"/>
        <v>16</v>
      </c>
      <c r="F24" s="208"/>
      <c r="G24" s="130"/>
      <c r="H24" s="208"/>
      <c r="I24" s="130"/>
      <c r="J24" s="208"/>
      <c r="K24" s="130"/>
      <c r="L24" s="208"/>
      <c r="M24" s="130"/>
      <c r="N24" s="208">
        <f t="shared" si="8"/>
        <v>14</v>
      </c>
      <c r="O24" s="130">
        <f t="shared" si="8"/>
        <v>2</v>
      </c>
      <c r="P24" s="209">
        <f t="shared" si="9"/>
        <v>16</v>
      </c>
      <c r="Q24" s="210">
        <f t="shared" si="10"/>
        <v>100</v>
      </c>
      <c r="R24" s="169">
        <v>9450</v>
      </c>
      <c r="S24" s="169">
        <v>9450</v>
      </c>
      <c r="T24" s="169"/>
      <c r="U24" s="130"/>
      <c r="V24" s="130"/>
    </row>
    <row r="25" spans="1:22" s="165" customFormat="1" ht="21">
      <c r="A25" s="136" t="s">
        <v>414</v>
      </c>
      <c r="B25" s="131">
        <v>25</v>
      </c>
      <c r="C25" s="208">
        <v>3</v>
      </c>
      <c r="D25" s="130">
        <v>22</v>
      </c>
      <c r="E25" s="209">
        <f t="shared" si="7"/>
        <v>25</v>
      </c>
      <c r="F25" s="208"/>
      <c r="G25" s="130"/>
      <c r="H25" s="208"/>
      <c r="I25" s="130"/>
      <c r="J25" s="208"/>
      <c r="K25" s="130"/>
      <c r="L25" s="208"/>
      <c r="M25" s="130"/>
      <c r="N25" s="208">
        <f t="shared" si="8"/>
        <v>3</v>
      </c>
      <c r="O25" s="130">
        <f t="shared" si="8"/>
        <v>22</v>
      </c>
      <c r="P25" s="209">
        <f t="shared" si="9"/>
        <v>25</v>
      </c>
      <c r="Q25" s="210">
        <f t="shared" si="10"/>
        <v>100</v>
      </c>
      <c r="R25" s="169">
        <v>21210</v>
      </c>
      <c r="S25" s="169">
        <v>19130</v>
      </c>
      <c r="T25" s="169"/>
      <c r="U25" s="130"/>
      <c r="V25" s="130"/>
    </row>
    <row r="26" spans="1:22" s="165" customFormat="1" ht="21">
      <c r="A26" s="136" t="s">
        <v>415</v>
      </c>
      <c r="B26" s="131">
        <v>12</v>
      </c>
      <c r="C26" s="208">
        <v>5</v>
      </c>
      <c r="D26" s="130">
        <v>7</v>
      </c>
      <c r="E26" s="209">
        <f t="shared" si="7"/>
        <v>12</v>
      </c>
      <c r="F26" s="208"/>
      <c r="G26" s="130"/>
      <c r="H26" s="208"/>
      <c r="I26" s="130"/>
      <c r="J26" s="208"/>
      <c r="K26" s="130"/>
      <c r="L26" s="208"/>
      <c r="M26" s="130"/>
      <c r="N26" s="208">
        <f t="shared" si="8"/>
        <v>5</v>
      </c>
      <c r="O26" s="130">
        <f t="shared" si="8"/>
        <v>7</v>
      </c>
      <c r="P26" s="209">
        <f t="shared" si="9"/>
        <v>12</v>
      </c>
      <c r="Q26" s="210">
        <f t="shared" si="10"/>
        <v>100</v>
      </c>
      <c r="R26" s="169">
        <v>32360</v>
      </c>
      <c r="S26" s="169">
        <v>32360</v>
      </c>
      <c r="T26" s="169"/>
      <c r="U26" s="130"/>
      <c r="V26" s="130"/>
    </row>
    <row r="27" spans="1:22" s="165" customFormat="1" ht="21">
      <c r="A27" s="136" t="s">
        <v>416</v>
      </c>
      <c r="B27" s="131">
        <v>17</v>
      </c>
      <c r="C27" s="208"/>
      <c r="D27" s="130"/>
      <c r="E27" s="209"/>
      <c r="F27" s="208"/>
      <c r="G27" s="130"/>
      <c r="H27" s="208"/>
      <c r="I27" s="130"/>
      <c r="J27" s="208"/>
      <c r="K27" s="130"/>
      <c r="L27" s="208"/>
      <c r="M27" s="130"/>
      <c r="N27" s="208"/>
      <c r="O27" s="130"/>
      <c r="P27" s="209"/>
      <c r="Q27" s="210"/>
      <c r="R27" s="169">
        <v>10450</v>
      </c>
      <c r="S27" s="169"/>
      <c r="T27" s="169"/>
      <c r="U27" s="130"/>
      <c r="V27" s="130"/>
    </row>
    <row r="28" spans="1:22" s="165" customFormat="1" ht="21">
      <c r="A28" s="136" t="s">
        <v>417</v>
      </c>
      <c r="B28" s="131">
        <v>17</v>
      </c>
      <c r="C28" s="208"/>
      <c r="D28" s="130"/>
      <c r="E28" s="209"/>
      <c r="F28" s="208"/>
      <c r="G28" s="130"/>
      <c r="H28" s="208"/>
      <c r="I28" s="130"/>
      <c r="J28" s="208"/>
      <c r="K28" s="130"/>
      <c r="L28" s="208"/>
      <c r="M28" s="130"/>
      <c r="N28" s="208"/>
      <c r="O28" s="130"/>
      <c r="P28" s="209"/>
      <c r="Q28" s="210"/>
      <c r="R28" s="169">
        <v>10300</v>
      </c>
      <c r="S28" s="169"/>
      <c r="T28" s="169"/>
      <c r="U28" s="130"/>
      <c r="V28" s="130"/>
    </row>
    <row r="29" spans="1:22" s="165" customFormat="1" ht="21">
      <c r="A29" s="136" t="s">
        <v>418</v>
      </c>
      <c r="B29" s="131">
        <v>17</v>
      </c>
      <c r="C29" s="208"/>
      <c r="D29" s="130"/>
      <c r="E29" s="209"/>
      <c r="F29" s="208"/>
      <c r="G29" s="130"/>
      <c r="H29" s="208"/>
      <c r="I29" s="130"/>
      <c r="J29" s="208"/>
      <c r="K29" s="130"/>
      <c r="L29" s="208"/>
      <c r="M29" s="130"/>
      <c r="N29" s="208"/>
      <c r="O29" s="130"/>
      <c r="P29" s="209"/>
      <c r="Q29" s="210"/>
      <c r="R29" s="169">
        <v>10300</v>
      </c>
      <c r="S29" s="169"/>
      <c r="T29" s="169"/>
      <c r="U29" s="130"/>
      <c r="V29" s="130"/>
    </row>
    <row r="30" spans="1:22" s="165" customFormat="1" ht="21">
      <c r="A30" s="136" t="s">
        <v>419</v>
      </c>
      <c r="B30" s="131">
        <v>17</v>
      </c>
      <c r="C30" s="208"/>
      <c r="D30" s="130"/>
      <c r="E30" s="209"/>
      <c r="F30" s="208"/>
      <c r="G30" s="130"/>
      <c r="H30" s="208"/>
      <c r="I30" s="130"/>
      <c r="J30" s="208"/>
      <c r="K30" s="130"/>
      <c r="L30" s="208"/>
      <c r="M30" s="130"/>
      <c r="N30" s="208"/>
      <c r="O30" s="130"/>
      <c r="P30" s="209"/>
      <c r="Q30" s="210"/>
      <c r="R30" s="169">
        <v>8490</v>
      </c>
      <c r="S30" s="169"/>
      <c r="T30" s="169"/>
      <c r="U30" s="130"/>
      <c r="V30" s="130"/>
    </row>
    <row r="31" spans="1:22" s="165" customFormat="1" ht="21">
      <c r="A31" s="136" t="s">
        <v>420</v>
      </c>
      <c r="B31" s="131">
        <v>17</v>
      </c>
      <c r="C31" s="208"/>
      <c r="D31" s="130"/>
      <c r="E31" s="209"/>
      <c r="F31" s="208"/>
      <c r="G31" s="130"/>
      <c r="H31" s="208"/>
      <c r="I31" s="130"/>
      <c r="J31" s="208"/>
      <c r="K31" s="130"/>
      <c r="L31" s="208"/>
      <c r="M31" s="130"/>
      <c r="N31" s="208"/>
      <c r="O31" s="130"/>
      <c r="P31" s="209"/>
      <c r="Q31" s="210"/>
      <c r="R31" s="169">
        <v>8450</v>
      </c>
      <c r="S31" s="169"/>
      <c r="T31" s="169"/>
      <c r="U31" s="130"/>
      <c r="V31" s="130"/>
    </row>
    <row r="32" spans="1:22" s="165" customFormat="1" ht="21">
      <c r="A32" s="136" t="s">
        <v>421</v>
      </c>
      <c r="B32" s="131">
        <v>16</v>
      </c>
      <c r="C32" s="208"/>
      <c r="D32" s="130"/>
      <c r="E32" s="209"/>
      <c r="F32" s="208"/>
      <c r="G32" s="130"/>
      <c r="H32" s="208"/>
      <c r="I32" s="130"/>
      <c r="J32" s="208"/>
      <c r="K32" s="130"/>
      <c r="L32" s="208"/>
      <c r="M32" s="130"/>
      <c r="N32" s="208"/>
      <c r="O32" s="130"/>
      <c r="P32" s="209"/>
      <c r="Q32" s="210"/>
      <c r="R32" s="169">
        <v>11450</v>
      </c>
      <c r="S32" s="169"/>
      <c r="T32" s="169"/>
      <c r="U32" s="130"/>
      <c r="V32" s="130"/>
    </row>
    <row r="33" spans="1:22" s="165" customFormat="1" ht="21">
      <c r="A33" s="129" t="s">
        <v>38</v>
      </c>
      <c r="B33" s="212">
        <f>SUM(B34:B35)</f>
        <v>80</v>
      </c>
      <c r="C33" s="212">
        <f aca="true" t="shared" si="11" ref="C33:M33">SUM(C34:C35)</f>
        <v>37</v>
      </c>
      <c r="D33" s="212">
        <f t="shared" si="11"/>
        <v>43</v>
      </c>
      <c r="E33" s="212">
        <f t="shared" si="11"/>
        <v>80</v>
      </c>
      <c r="F33" s="212">
        <f t="shared" si="11"/>
        <v>0</v>
      </c>
      <c r="G33" s="212">
        <f t="shared" si="11"/>
        <v>0</v>
      </c>
      <c r="H33" s="212">
        <f t="shared" si="11"/>
        <v>0</v>
      </c>
      <c r="I33" s="212">
        <f t="shared" si="11"/>
        <v>0</v>
      </c>
      <c r="J33" s="212">
        <f t="shared" si="11"/>
        <v>0</v>
      </c>
      <c r="K33" s="212">
        <f t="shared" si="11"/>
        <v>0</v>
      </c>
      <c r="L33" s="212">
        <f t="shared" si="11"/>
        <v>0</v>
      </c>
      <c r="M33" s="212">
        <f t="shared" si="11"/>
        <v>0</v>
      </c>
      <c r="N33" s="208">
        <f t="shared" si="8"/>
        <v>37</v>
      </c>
      <c r="O33" s="130">
        <f t="shared" si="8"/>
        <v>43</v>
      </c>
      <c r="P33" s="209">
        <f t="shared" si="9"/>
        <v>80</v>
      </c>
      <c r="Q33" s="210">
        <f t="shared" si="10"/>
        <v>100</v>
      </c>
      <c r="R33" s="169">
        <f>SUM(R34:R39)</f>
        <v>11960</v>
      </c>
      <c r="S33" s="169">
        <f>SUM(S34:S39)</f>
        <v>5980</v>
      </c>
      <c r="T33" s="169">
        <f>SUM(T34:T39)</f>
        <v>0</v>
      </c>
      <c r="U33" s="130">
        <f>(S33+T33)</f>
        <v>5980</v>
      </c>
      <c r="V33" s="211">
        <f>(U33*100)/R33</f>
        <v>50</v>
      </c>
    </row>
    <row r="34" spans="1:22" s="165" customFormat="1" ht="42">
      <c r="A34" s="136" t="s">
        <v>422</v>
      </c>
      <c r="B34" s="131">
        <v>40</v>
      </c>
      <c r="C34" s="208">
        <v>20</v>
      </c>
      <c r="D34" s="130">
        <v>20</v>
      </c>
      <c r="E34" s="209">
        <f>(C34+D34)</f>
        <v>40</v>
      </c>
      <c r="F34" s="208"/>
      <c r="G34" s="130"/>
      <c r="H34" s="208"/>
      <c r="I34" s="130"/>
      <c r="J34" s="208"/>
      <c r="K34" s="130"/>
      <c r="L34" s="208"/>
      <c r="M34" s="130"/>
      <c r="N34" s="208">
        <f t="shared" si="8"/>
        <v>20</v>
      </c>
      <c r="O34" s="130">
        <f t="shared" si="8"/>
        <v>20</v>
      </c>
      <c r="P34" s="209">
        <f>(N34+O34)</f>
        <v>40</v>
      </c>
      <c r="Q34" s="210">
        <f>(P34*100)/B34</f>
        <v>100</v>
      </c>
      <c r="R34" s="169">
        <v>2980</v>
      </c>
      <c r="S34" s="169">
        <v>2980</v>
      </c>
      <c r="T34" s="169"/>
      <c r="U34" s="169"/>
      <c r="V34" s="211"/>
    </row>
    <row r="35" spans="1:22" ht="42">
      <c r="A35" s="136" t="s">
        <v>423</v>
      </c>
      <c r="B35" s="146">
        <v>40</v>
      </c>
      <c r="C35" s="208">
        <v>17</v>
      </c>
      <c r="D35" s="149">
        <v>23</v>
      </c>
      <c r="E35" s="209">
        <f>(C35+D35)</f>
        <v>40</v>
      </c>
      <c r="F35" s="208"/>
      <c r="G35" s="149"/>
      <c r="H35" s="208"/>
      <c r="I35" s="149"/>
      <c r="J35" s="208"/>
      <c r="K35" s="149"/>
      <c r="L35" s="208"/>
      <c r="M35" s="149"/>
      <c r="N35" s="208">
        <f t="shared" si="8"/>
        <v>17</v>
      </c>
      <c r="O35" s="130">
        <f t="shared" si="8"/>
        <v>23</v>
      </c>
      <c r="P35" s="209">
        <f>(N35+O35)</f>
        <v>40</v>
      </c>
      <c r="Q35" s="210">
        <f>(P35*100)/B35</f>
        <v>100</v>
      </c>
      <c r="R35" s="213">
        <v>3000</v>
      </c>
      <c r="S35" s="213">
        <v>3000</v>
      </c>
      <c r="T35" s="213"/>
      <c r="U35" s="149"/>
      <c r="V35" s="149"/>
    </row>
    <row r="36" spans="1:22" ht="21">
      <c r="A36" s="136" t="s">
        <v>424</v>
      </c>
      <c r="B36" s="146">
        <v>20</v>
      </c>
      <c r="C36" s="208"/>
      <c r="D36" s="149"/>
      <c r="E36" s="209"/>
      <c r="F36" s="208"/>
      <c r="G36" s="149"/>
      <c r="H36" s="208"/>
      <c r="I36" s="149"/>
      <c r="J36" s="208"/>
      <c r="K36" s="149"/>
      <c r="L36" s="208"/>
      <c r="M36" s="149"/>
      <c r="N36" s="208"/>
      <c r="O36" s="130"/>
      <c r="P36" s="209"/>
      <c r="Q36" s="210"/>
      <c r="R36" s="213">
        <v>2050</v>
      </c>
      <c r="S36" s="213"/>
      <c r="T36" s="213"/>
      <c r="U36" s="149"/>
      <c r="V36" s="149"/>
    </row>
    <row r="37" spans="1:22" ht="21">
      <c r="A37" s="136" t="s">
        <v>425</v>
      </c>
      <c r="B37" s="146">
        <v>20</v>
      </c>
      <c r="C37" s="208"/>
      <c r="D37" s="149"/>
      <c r="E37" s="209"/>
      <c r="F37" s="208"/>
      <c r="G37" s="149"/>
      <c r="H37" s="208"/>
      <c r="I37" s="149"/>
      <c r="J37" s="208"/>
      <c r="K37" s="149"/>
      <c r="L37" s="208"/>
      <c r="M37" s="149"/>
      <c r="N37" s="208"/>
      <c r="O37" s="130"/>
      <c r="P37" s="209"/>
      <c r="Q37" s="210"/>
      <c r="R37" s="213">
        <v>1950</v>
      </c>
      <c r="S37" s="213"/>
      <c r="T37" s="213"/>
      <c r="U37" s="149"/>
      <c r="V37" s="149"/>
    </row>
    <row r="38" spans="1:22" ht="21">
      <c r="A38" s="136" t="s">
        <v>426</v>
      </c>
      <c r="B38" s="146">
        <v>20</v>
      </c>
      <c r="C38" s="208"/>
      <c r="D38" s="149"/>
      <c r="E38" s="209"/>
      <c r="F38" s="208"/>
      <c r="G38" s="149"/>
      <c r="H38" s="208"/>
      <c r="I38" s="149"/>
      <c r="J38" s="208"/>
      <c r="K38" s="149"/>
      <c r="L38" s="208"/>
      <c r="M38" s="149"/>
      <c r="N38" s="208"/>
      <c r="O38" s="130"/>
      <c r="P38" s="209"/>
      <c r="Q38" s="210"/>
      <c r="R38" s="213">
        <v>1980</v>
      </c>
      <c r="S38" s="213"/>
      <c r="T38" s="213"/>
      <c r="U38" s="149"/>
      <c r="V38" s="149"/>
    </row>
    <row r="39" spans="1:22" ht="21">
      <c r="A39" s="136" t="s">
        <v>427</v>
      </c>
      <c r="B39" s="146">
        <v>100</v>
      </c>
      <c r="C39" s="208"/>
      <c r="D39" s="149"/>
      <c r="E39" s="209"/>
      <c r="F39" s="208"/>
      <c r="G39" s="149"/>
      <c r="H39" s="208"/>
      <c r="I39" s="149"/>
      <c r="J39" s="208"/>
      <c r="K39" s="149"/>
      <c r="L39" s="208"/>
      <c r="M39" s="149"/>
      <c r="N39" s="208"/>
      <c r="O39" s="130"/>
      <c r="P39" s="209"/>
      <c r="Q39" s="210"/>
      <c r="R39" s="213"/>
      <c r="S39" s="213"/>
      <c r="T39" s="213"/>
      <c r="U39" s="149"/>
      <c r="V39" s="149"/>
    </row>
    <row r="40" spans="1:22" s="165" customFormat="1" ht="21">
      <c r="A40" s="129" t="s">
        <v>40</v>
      </c>
      <c r="B40" s="212">
        <f aca="true" t="shared" si="12" ref="B40:M40">SUM(B41:B45)</f>
        <v>195</v>
      </c>
      <c r="C40" s="208">
        <f t="shared" si="12"/>
        <v>87</v>
      </c>
      <c r="D40" s="208">
        <f t="shared" si="12"/>
        <v>110</v>
      </c>
      <c r="E40" s="208">
        <f t="shared" si="12"/>
        <v>197</v>
      </c>
      <c r="F40" s="208">
        <f t="shared" si="12"/>
        <v>0</v>
      </c>
      <c r="G40" s="208">
        <f t="shared" si="12"/>
        <v>0</v>
      </c>
      <c r="H40" s="208">
        <f t="shared" si="12"/>
        <v>0</v>
      </c>
      <c r="I40" s="208">
        <f t="shared" si="12"/>
        <v>0</v>
      </c>
      <c r="J40" s="208">
        <f t="shared" si="12"/>
        <v>0</v>
      </c>
      <c r="K40" s="208">
        <f t="shared" si="12"/>
        <v>0</v>
      </c>
      <c r="L40" s="208">
        <f t="shared" si="12"/>
        <v>0</v>
      </c>
      <c r="M40" s="208">
        <f t="shared" si="12"/>
        <v>0</v>
      </c>
      <c r="N40" s="208">
        <f t="shared" si="8"/>
        <v>87</v>
      </c>
      <c r="O40" s="130">
        <f t="shared" si="8"/>
        <v>110</v>
      </c>
      <c r="P40" s="209">
        <f>(N40+O40)</f>
        <v>197</v>
      </c>
      <c r="Q40" s="210">
        <f>(P40*100)/B40</f>
        <v>101.02564102564102</v>
      </c>
      <c r="R40" s="169">
        <f>SUM(R41:R45)</f>
        <v>24250</v>
      </c>
      <c r="S40" s="169">
        <f>SUM(S41:S45)</f>
        <v>24250</v>
      </c>
      <c r="T40" s="169">
        <f>SUM(T41:T45)</f>
        <v>0</v>
      </c>
      <c r="U40" s="130">
        <f>(S40+T40)</f>
        <v>24250</v>
      </c>
      <c r="V40" s="211">
        <f>(U40*100)/R40</f>
        <v>100</v>
      </c>
    </row>
    <row r="41" spans="1:22" s="165" customFormat="1" ht="21">
      <c r="A41" s="136" t="s">
        <v>428</v>
      </c>
      <c r="B41" s="131">
        <v>15</v>
      </c>
      <c r="C41" s="208"/>
      <c r="D41" s="130">
        <v>15</v>
      </c>
      <c r="E41" s="209">
        <f>(C41+D41)</f>
        <v>15</v>
      </c>
      <c r="F41" s="208"/>
      <c r="G41" s="130"/>
      <c r="H41" s="208"/>
      <c r="I41" s="130"/>
      <c r="J41" s="208"/>
      <c r="K41" s="130"/>
      <c r="L41" s="208"/>
      <c r="M41" s="130"/>
      <c r="N41" s="208">
        <f>(C41+F41+H41+J41+L41)</f>
        <v>0</v>
      </c>
      <c r="O41" s="214">
        <f t="shared" si="8"/>
        <v>15</v>
      </c>
      <c r="P41" s="209">
        <f>(N41+O41)</f>
        <v>15</v>
      </c>
      <c r="Q41" s="210">
        <f>(P41*100)/B41</f>
        <v>100</v>
      </c>
      <c r="R41" s="169">
        <v>1600</v>
      </c>
      <c r="S41" s="169">
        <v>1600</v>
      </c>
      <c r="T41" s="169"/>
      <c r="U41" s="130"/>
      <c r="V41" s="130"/>
    </row>
    <row r="42" spans="1:22" s="165" customFormat="1" ht="21">
      <c r="A42" s="136" t="s">
        <v>429</v>
      </c>
      <c r="B42" s="131">
        <v>15</v>
      </c>
      <c r="C42" s="208"/>
      <c r="D42" s="130">
        <v>17</v>
      </c>
      <c r="E42" s="209">
        <f>(C42+D42)</f>
        <v>17</v>
      </c>
      <c r="F42" s="208"/>
      <c r="G42" s="130"/>
      <c r="H42" s="208"/>
      <c r="I42" s="130"/>
      <c r="J42" s="208"/>
      <c r="K42" s="130"/>
      <c r="L42" s="208"/>
      <c r="M42" s="130"/>
      <c r="N42" s="208">
        <f>(C42+F42+H42+J42+L42)</f>
        <v>0</v>
      </c>
      <c r="O42" s="214">
        <f t="shared" si="8"/>
        <v>17</v>
      </c>
      <c r="P42" s="209">
        <f aca="true" t="shared" si="13" ref="P42:P61">(N42+O42)</f>
        <v>17</v>
      </c>
      <c r="Q42" s="210">
        <f aca="true" t="shared" si="14" ref="Q42:Q61">(P42*100)/B42</f>
        <v>113.33333333333333</v>
      </c>
      <c r="R42" s="169">
        <v>2100</v>
      </c>
      <c r="S42" s="169">
        <v>2100</v>
      </c>
      <c r="T42" s="169"/>
      <c r="U42" s="130"/>
      <c r="V42" s="130"/>
    </row>
    <row r="43" spans="1:22" s="165" customFormat="1" ht="21">
      <c r="A43" s="136" t="s">
        <v>430</v>
      </c>
      <c r="B43" s="131">
        <v>15</v>
      </c>
      <c r="C43" s="208"/>
      <c r="D43" s="130">
        <v>15</v>
      </c>
      <c r="E43" s="209">
        <f>(C43+D43)</f>
        <v>15</v>
      </c>
      <c r="F43" s="208"/>
      <c r="G43" s="130"/>
      <c r="H43" s="208"/>
      <c r="I43" s="130"/>
      <c r="J43" s="208"/>
      <c r="K43" s="130"/>
      <c r="L43" s="208"/>
      <c r="M43" s="130"/>
      <c r="N43" s="208">
        <f>(C43+F43+H43+J43+L43)</f>
        <v>0</v>
      </c>
      <c r="O43" s="214">
        <f t="shared" si="8"/>
        <v>15</v>
      </c>
      <c r="P43" s="209">
        <f t="shared" si="13"/>
        <v>15</v>
      </c>
      <c r="Q43" s="210">
        <f t="shared" si="14"/>
        <v>100</v>
      </c>
      <c r="R43" s="169">
        <v>1600</v>
      </c>
      <c r="S43" s="169">
        <v>1600</v>
      </c>
      <c r="T43" s="169"/>
      <c r="U43" s="130"/>
      <c r="V43" s="130"/>
    </row>
    <row r="44" spans="1:22" s="165" customFormat="1" ht="42">
      <c r="A44" s="136" t="s">
        <v>431</v>
      </c>
      <c r="B44" s="131">
        <v>40</v>
      </c>
      <c r="C44" s="208">
        <v>23</v>
      </c>
      <c r="D44" s="130">
        <v>17</v>
      </c>
      <c r="E44" s="209">
        <f>(C44+D44)</f>
        <v>40</v>
      </c>
      <c r="F44" s="208"/>
      <c r="G44" s="130"/>
      <c r="H44" s="208"/>
      <c r="I44" s="130"/>
      <c r="J44" s="208"/>
      <c r="K44" s="130"/>
      <c r="L44" s="208"/>
      <c r="M44" s="130"/>
      <c r="N44" s="208">
        <f>(C44+F44+H44+J44+L44)</f>
        <v>23</v>
      </c>
      <c r="O44" s="214">
        <f t="shared" si="8"/>
        <v>17</v>
      </c>
      <c r="P44" s="209">
        <f t="shared" si="13"/>
        <v>40</v>
      </c>
      <c r="Q44" s="210">
        <f t="shared" si="14"/>
        <v>100</v>
      </c>
      <c r="R44" s="169">
        <v>7150</v>
      </c>
      <c r="S44" s="169">
        <v>7150</v>
      </c>
      <c r="T44" s="169"/>
      <c r="U44" s="130"/>
      <c r="V44" s="130"/>
    </row>
    <row r="45" spans="1:22" s="165" customFormat="1" ht="42">
      <c r="A45" s="136" t="s">
        <v>432</v>
      </c>
      <c r="B45" s="131">
        <v>110</v>
      </c>
      <c r="C45" s="208">
        <v>64</v>
      </c>
      <c r="D45" s="130">
        <v>46</v>
      </c>
      <c r="E45" s="209">
        <f>(C45+D45)</f>
        <v>110</v>
      </c>
      <c r="F45" s="208"/>
      <c r="G45" s="130"/>
      <c r="H45" s="208"/>
      <c r="I45" s="130"/>
      <c r="J45" s="208"/>
      <c r="K45" s="130"/>
      <c r="L45" s="208"/>
      <c r="M45" s="130"/>
      <c r="N45" s="208">
        <f>(C45+F45+H45+J45+L45)</f>
        <v>64</v>
      </c>
      <c r="O45" s="214">
        <f t="shared" si="8"/>
        <v>46</v>
      </c>
      <c r="P45" s="209">
        <f t="shared" si="13"/>
        <v>110</v>
      </c>
      <c r="Q45" s="210">
        <f t="shared" si="14"/>
        <v>100</v>
      </c>
      <c r="R45" s="169">
        <v>11800</v>
      </c>
      <c r="S45" s="130">
        <v>11800</v>
      </c>
      <c r="T45" s="130"/>
      <c r="U45" s="130"/>
      <c r="V45" s="130"/>
    </row>
    <row r="46" spans="1:22" s="165" customFormat="1" ht="21">
      <c r="A46" s="129" t="s">
        <v>45</v>
      </c>
      <c r="B46" s="212">
        <f>SUM(B47:B53)</f>
        <v>214</v>
      </c>
      <c r="C46" s="212">
        <f aca="true" t="shared" si="15" ref="C46:M46">SUM(C47:C53)</f>
        <v>74</v>
      </c>
      <c r="D46" s="212">
        <f t="shared" si="15"/>
        <v>156</v>
      </c>
      <c r="E46" s="212">
        <f t="shared" si="15"/>
        <v>230</v>
      </c>
      <c r="F46" s="212">
        <f t="shared" si="15"/>
        <v>0</v>
      </c>
      <c r="G46" s="212">
        <f t="shared" si="15"/>
        <v>0</v>
      </c>
      <c r="H46" s="212">
        <f t="shared" si="15"/>
        <v>0</v>
      </c>
      <c r="I46" s="212">
        <f t="shared" si="15"/>
        <v>0</v>
      </c>
      <c r="J46" s="212">
        <f t="shared" si="15"/>
        <v>0</v>
      </c>
      <c r="K46" s="212">
        <f t="shared" si="15"/>
        <v>0</v>
      </c>
      <c r="L46" s="212">
        <f t="shared" si="15"/>
        <v>0</v>
      </c>
      <c r="M46" s="212">
        <f t="shared" si="15"/>
        <v>0</v>
      </c>
      <c r="N46" s="214">
        <f t="shared" si="8"/>
        <v>74</v>
      </c>
      <c r="O46" s="214">
        <f t="shared" si="8"/>
        <v>156</v>
      </c>
      <c r="P46" s="209">
        <f t="shared" si="13"/>
        <v>230</v>
      </c>
      <c r="Q46" s="210">
        <f t="shared" si="14"/>
        <v>107.4766355140187</v>
      </c>
      <c r="R46" s="169">
        <f>SUM(R47:R53)</f>
        <v>12000</v>
      </c>
      <c r="S46" s="169">
        <f>SUM(S47:S53)</f>
        <v>12000</v>
      </c>
      <c r="T46" s="169">
        <f>SUM(T47:T53)</f>
        <v>0</v>
      </c>
      <c r="U46" s="130">
        <f>(S46+T46)</f>
        <v>12000</v>
      </c>
      <c r="V46" s="211">
        <f>(U46*100)/R46</f>
        <v>100</v>
      </c>
    </row>
    <row r="47" spans="1:22" s="165" customFormat="1" ht="21">
      <c r="A47" s="159" t="s">
        <v>433</v>
      </c>
      <c r="B47" s="131">
        <v>10</v>
      </c>
      <c r="C47" s="208"/>
      <c r="D47" s="130">
        <v>14</v>
      </c>
      <c r="E47" s="209">
        <f aca="true" t="shared" si="16" ref="E47:E61">(C47+D47)</f>
        <v>14</v>
      </c>
      <c r="F47" s="208"/>
      <c r="G47" s="130"/>
      <c r="H47" s="208"/>
      <c r="I47" s="130"/>
      <c r="J47" s="208"/>
      <c r="K47" s="130"/>
      <c r="L47" s="208"/>
      <c r="M47" s="130"/>
      <c r="N47" s="208">
        <f aca="true" t="shared" si="17" ref="N47:N53">F47+H47+J47+L47</f>
        <v>0</v>
      </c>
      <c r="O47" s="214">
        <f aca="true" t="shared" si="18" ref="N47:O61">(D47+G47+I47+K47+M47)</f>
        <v>14</v>
      </c>
      <c r="P47" s="209">
        <f t="shared" si="13"/>
        <v>14</v>
      </c>
      <c r="Q47" s="210">
        <f t="shared" si="14"/>
        <v>140</v>
      </c>
      <c r="R47" s="169">
        <v>2000</v>
      </c>
      <c r="S47" s="169">
        <v>2000</v>
      </c>
      <c r="T47" s="169"/>
      <c r="U47" s="130"/>
      <c r="V47" s="130"/>
    </row>
    <row r="48" spans="1:22" s="165" customFormat="1" ht="21">
      <c r="A48" s="159" t="s">
        <v>434</v>
      </c>
      <c r="B48" s="131">
        <v>10</v>
      </c>
      <c r="C48" s="208"/>
      <c r="D48" s="130">
        <v>10</v>
      </c>
      <c r="E48" s="209">
        <f t="shared" si="16"/>
        <v>10</v>
      </c>
      <c r="F48" s="208"/>
      <c r="G48" s="130"/>
      <c r="H48" s="208"/>
      <c r="I48" s="130"/>
      <c r="J48" s="208"/>
      <c r="K48" s="130"/>
      <c r="L48" s="208"/>
      <c r="M48" s="130"/>
      <c r="N48" s="208">
        <f t="shared" si="17"/>
        <v>0</v>
      </c>
      <c r="O48" s="214">
        <f t="shared" si="18"/>
        <v>10</v>
      </c>
      <c r="P48" s="209">
        <f t="shared" si="13"/>
        <v>10</v>
      </c>
      <c r="Q48" s="210">
        <f t="shared" si="14"/>
        <v>100</v>
      </c>
      <c r="R48" s="169">
        <v>2000</v>
      </c>
      <c r="S48" s="169">
        <v>2000</v>
      </c>
      <c r="T48" s="169"/>
      <c r="U48" s="130"/>
      <c r="V48" s="130"/>
    </row>
    <row r="49" spans="1:22" s="165" customFormat="1" ht="21">
      <c r="A49" s="159" t="s">
        <v>435</v>
      </c>
      <c r="B49" s="131">
        <v>150</v>
      </c>
      <c r="C49" s="208">
        <v>64</v>
      </c>
      <c r="D49" s="130">
        <v>96</v>
      </c>
      <c r="E49" s="209">
        <f t="shared" si="16"/>
        <v>160</v>
      </c>
      <c r="F49" s="208"/>
      <c r="G49" s="130"/>
      <c r="H49" s="208"/>
      <c r="I49" s="130"/>
      <c r="J49" s="208"/>
      <c r="K49" s="130"/>
      <c r="L49" s="208"/>
      <c r="M49" s="130"/>
      <c r="N49" s="208">
        <f t="shared" si="17"/>
        <v>0</v>
      </c>
      <c r="O49" s="214">
        <f t="shared" si="18"/>
        <v>96</v>
      </c>
      <c r="P49" s="209">
        <f t="shared" si="13"/>
        <v>96</v>
      </c>
      <c r="Q49" s="210">
        <f t="shared" si="14"/>
        <v>64</v>
      </c>
      <c r="R49" s="169">
        <v>950</v>
      </c>
      <c r="S49" s="169">
        <v>950</v>
      </c>
      <c r="T49" s="169"/>
      <c r="U49" s="130"/>
      <c r="V49" s="130"/>
    </row>
    <row r="50" spans="1:22" s="165" customFormat="1" ht="21">
      <c r="A50" s="159" t="s">
        <v>436</v>
      </c>
      <c r="B50" s="131">
        <v>10</v>
      </c>
      <c r="C50" s="208">
        <v>10</v>
      </c>
      <c r="D50" s="130">
        <v>2</v>
      </c>
      <c r="E50" s="209">
        <f t="shared" si="16"/>
        <v>12</v>
      </c>
      <c r="F50" s="208"/>
      <c r="G50" s="130"/>
      <c r="H50" s="208"/>
      <c r="I50" s="130"/>
      <c r="J50" s="208"/>
      <c r="K50" s="130"/>
      <c r="L50" s="208"/>
      <c r="M50" s="130"/>
      <c r="N50" s="208">
        <f t="shared" si="17"/>
        <v>0</v>
      </c>
      <c r="O50" s="214">
        <f t="shared" si="18"/>
        <v>2</v>
      </c>
      <c r="P50" s="209">
        <f t="shared" si="13"/>
        <v>2</v>
      </c>
      <c r="Q50" s="210">
        <f t="shared" si="14"/>
        <v>20</v>
      </c>
      <c r="R50" s="169">
        <v>2450</v>
      </c>
      <c r="S50" s="169">
        <v>2450</v>
      </c>
      <c r="T50" s="169"/>
      <c r="U50" s="130"/>
      <c r="V50" s="130"/>
    </row>
    <row r="51" spans="1:22" s="165" customFormat="1" ht="21">
      <c r="A51" s="159" t="s">
        <v>437</v>
      </c>
      <c r="B51" s="131">
        <v>10</v>
      </c>
      <c r="C51" s="208"/>
      <c r="D51" s="130">
        <v>10</v>
      </c>
      <c r="E51" s="209">
        <f t="shared" si="16"/>
        <v>10</v>
      </c>
      <c r="F51" s="208"/>
      <c r="G51" s="130"/>
      <c r="H51" s="208"/>
      <c r="I51" s="130"/>
      <c r="J51" s="208"/>
      <c r="K51" s="130"/>
      <c r="L51" s="208"/>
      <c r="M51" s="130"/>
      <c r="N51" s="208">
        <f t="shared" si="17"/>
        <v>0</v>
      </c>
      <c r="O51" s="214">
        <f t="shared" si="18"/>
        <v>10</v>
      </c>
      <c r="P51" s="209">
        <f t="shared" si="13"/>
        <v>10</v>
      </c>
      <c r="Q51" s="210">
        <f t="shared" si="14"/>
        <v>100</v>
      </c>
      <c r="R51" s="169">
        <v>1600</v>
      </c>
      <c r="S51" s="169">
        <v>1600</v>
      </c>
      <c r="T51" s="169"/>
      <c r="U51" s="130"/>
      <c r="V51" s="130"/>
    </row>
    <row r="52" spans="1:22" s="165" customFormat="1" ht="21">
      <c r="A52" s="159" t="s">
        <v>438</v>
      </c>
      <c r="B52" s="131">
        <v>12</v>
      </c>
      <c r="C52" s="208"/>
      <c r="D52" s="130">
        <v>12</v>
      </c>
      <c r="E52" s="209">
        <f t="shared" si="16"/>
        <v>12</v>
      </c>
      <c r="F52" s="208"/>
      <c r="G52" s="130"/>
      <c r="H52" s="208"/>
      <c r="I52" s="130"/>
      <c r="J52" s="208"/>
      <c r="K52" s="130"/>
      <c r="L52" s="208"/>
      <c r="M52" s="130"/>
      <c r="N52" s="208">
        <f t="shared" si="17"/>
        <v>0</v>
      </c>
      <c r="O52" s="214">
        <f t="shared" si="18"/>
        <v>12</v>
      </c>
      <c r="P52" s="209">
        <f t="shared" si="13"/>
        <v>12</v>
      </c>
      <c r="Q52" s="210">
        <f t="shared" si="14"/>
        <v>100</v>
      </c>
      <c r="R52" s="169">
        <v>1500</v>
      </c>
      <c r="S52" s="169">
        <v>1500</v>
      </c>
      <c r="T52" s="169"/>
      <c r="U52" s="130"/>
      <c r="V52" s="130"/>
    </row>
    <row r="53" spans="1:22" s="165" customFormat="1" ht="21">
      <c r="A53" s="159" t="s">
        <v>439</v>
      </c>
      <c r="B53" s="131">
        <v>12</v>
      </c>
      <c r="C53" s="208"/>
      <c r="D53" s="130">
        <v>12</v>
      </c>
      <c r="E53" s="209">
        <f t="shared" si="16"/>
        <v>12</v>
      </c>
      <c r="F53" s="208"/>
      <c r="G53" s="130"/>
      <c r="H53" s="208"/>
      <c r="I53" s="130"/>
      <c r="J53" s="208"/>
      <c r="K53" s="130"/>
      <c r="L53" s="208"/>
      <c r="M53" s="130"/>
      <c r="N53" s="208">
        <f t="shared" si="17"/>
        <v>0</v>
      </c>
      <c r="O53" s="214">
        <f t="shared" si="18"/>
        <v>12</v>
      </c>
      <c r="P53" s="209">
        <f t="shared" si="13"/>
        <v>12</v>
      </c>
      <c r="Q53" s="210">
        <f t="shared" si="14"/>
        <v>100</v>
      </c>
      <c r="R53" s="169">
        <v>1500</v>
      </c>
      <c r="S53" s="169">
        <v>1500</v>
      </c>
      <c r="T53" s="169"/>
      <c r="U53" s="130"/>
      <c r="V53" s="130"/>
    </row>
    <row r="54" spans="1:22" s="165" customFormat="1" ht="21">
      <c r="A54" s="129" t="s">
        <v>49</v>
      </c>
      <c r="B54" s="212">
        <f>SUM(B55:B55)</f>
        <v>20</v>
      </c>
      <c r="C54" s="212">
        <f aca="true" t="shared" si="19" ref="C54:M54">SUM(C55:C55)</f>
        <v>10</v>
      </c>
      <c r="D54" s="212">
        <f t="shared" si="19"/>
        <v>10</v>
      </c>
      <c r="E54" s="212">
        <f t="shared" si="19"/>
        <v>20</v>
      </c>
      <c r="F54" s="212">
        <f t="shared" si="19"/>
        <v>0</v>
      </c>
      <c r="G54" s="212">
        <f t="shared" si="19"/>
        <v>0</v>
      </c>
      <c r="H54" s="212">
        <f t="shared" si="19"/>
        <v>0</v>
      </c>
      <c r="I54" s="212">
        <f t="shared" si="19"/>
        <v>0</v>
      </c>
      <c r="J54" s="212">
        <f t="shared" si="19"/>
        <v>0</v>
      </c>
      <c r="K54" s="212">
        <f t="shared" si="19"/>
        <v>0</v>
      </c>
      <c r="L54" s="212">
        <f t="shared" si="19"/>
        <v>0</v>
      </c>
      <c r="M54" s="212">
        <f t="shared" si="19"/>
        <v>0</v>
      </c>
      <c r="N54" s="214">
        <f t="shared" si="18"/>
        <v>10</v>
      </c>
      <c r="O54" s="214">
        <f t="shared" si="18"/>
        <v>10</v>
      </c>
      <c r="P54" s="209">
        <f t="shared" si="13"/>
        <v>20</v>
      </c>
      <c r="Q54" s="210">
        <f t="shared" si="14"/>
        <v>100</v>
      </c>
      <c r="R54" s="130"/>
      <c r="S54" s="130"/>
      <c r="T54" s="130"/>
      <c r="U54" s="130"/>
      <c r="V54" s="130"/>
    </row>
    <row r="55" spans="1:22" s="165" customFormat="1" ht="21">
      <c r="A55" s="136" t="s">
        <v>440</v>
      </c>
      <c r="B55" s="131">
        <v>20</v>
      </c>
      <c r="C55" s="208">
        <v>10</v>
      </c>
      <c r="D55" s="130">
        <v>10</v>
      </c>
      <c r="E55" s="209">
        <f t="shared" si="16"/>
        <v>20</v>
      </c>
      <c r="F55" s="208"/>
      <c r="G55" s="130"/>
      <c r="H55" s="208"/>
      <c r="I55" s="130"/>
      <c r="J55" s="208"/>
      <c r="K55" s="130"/>
      <c r="L55" s="208"/>
      <c r="M55" s="130"/>
      <c r="N55" s="214">
        <f t="shared" si="18"/>
        <v>10</v>
      </c>
      <c r="O55" s="214">
        <f t="shared" si="18"/>
        <v>10</v>
      </c>
      <c r="P55" s="209">
        <f t="shared" si="13"/>
        <v>20</v>
      </c>
      <c r="Q55" s="210">
        <f t="shared" si="14"/>
        <v>100</v>
      </c>
      <c r="R55" s="169">
        <v>2750</v>
      </c>
      <c r="S55" s="32">
        <v>2750</v>
      </c>
      <c r="T55" s="32"/>
      <c r="U55" s="130"/>
      <c r="V55" s="130"/>
    </row>
    <row r="56" spans="1:22" s="165" customFormat="1" ht="21">
      <c r="A56" s="129" t="s">
        <v>50</v>
      </c>
      <c r="B56" s="212">
        <f>SUM(B57:B61)</f>
        <v>57</v>
      </c>
      <c r="C56" s="212">
        <f aca="true" t="shared" si="20" ref="C56:M56">SUM(C57:C61)</f>
        <v>26</v>
      </c>
      <c r="D56" s="212">
        <f t="shared" si="20"/>
        <v>31</v>
      </c>
      <c r="E56" s="212">
        <f t="shared" si="20"/>
        <v>57</v>
      </c>
      <c r="F56" s="212">
        <f t="shared" si="20"/>
        <v>0</v>
      </c>
      <c r="G56" s="212">
        <f t="shared" si="20"/>
        <v>0</v>
      </c>
      <c r="H56" s="212">
        <f t="shared" si="20"/>
        <v>24</v>
      </c>
      <c r="I56" s="212">
        <f t="shared" si="20"/>
        <v>29</v>
      </c>
      <c r="J56" s="212">
        <f t="shared" si="20"/>
        <v>12</v>
      </c>
      <c r="K56" s="212">
        <f t="shared" si="20"/>
        <v>4</v>
      </c>
      <c r="L56" s="212">
        <f t="shared" si="20"/>
        <v>0</v>
      </c>
      <c r="M56" s="212">
        <f t="shared" si="20"/>
        <v>1</v>
      </c>
      <c r="N56" s="214">
        <f t="shared" si="18"/>
        <v>62</v>
      </c>
      <c r="O56" s="214">
        <f t="shared" si="18"/>
        <v>65</v>
      </c>
      <c r="P56" s="209">
        <f t="shared" si="13"/>
        <v>127</v>
      </c>
      <c r="Q56" s="210">
        <f t="shared" si="14"/>
        <v>222.80701754385964</v>
      </c>
      <c r="R56" s="169">
        <f>SUM(R57:R61)</f>
        <v>7500</v>
      </c>
      <c r="S56" s="169">
        <f>SUM(S57:S61)</f>
        <v>7500</v>
      </c>
      <c r="T56" s="169">
        <f>SUM(T57:T61)</f>
        <v>0</v>
      </c>
      <c r="U56" s="32">
        <f>(S56+T56)</f>
        <v>7500</v>
      </c>
      <c r="V56" s="211">
        <f>(U56*100)/R56</f>
        <v>100</v>
      </c>
    </row>
    <row r="57" spans="1:22" s="165" customFormat="1" ht="21">
      <c r="A57" s="159" t="s">
        <v>441</v>
      </c>
      <c r="B57" s="131">
        <v>11</v>
      </c>
      <c r="C57" s="208">
        <v>2</v>
      </c>
      <c r="D57" s="130">
        <v>9</v>
      </c>
      <c r="E57" s="209">
        <f t="shared" si="16"/>
        <v>11</v>
      </c>
      <c r="F57" s="208"/>
      <c r="G57" s="130"/>
      <c r="H57" s="208">
        <v>3</v>
      </c>
      <c r="I57" s="130">
        <v>8</v>
      </c>
      <c r="J57" s="208">
        <v>2</v>
      </c>
      <c r="K57" s="130"/>
      <c r="L57" s="208"/>
      <c r="M57" s="130">
        <v>1</v>
      </c>
      <c r="N57" s="214">
        <f t="shared" si="18"/>
        <v>7</v>
      </c>
      <c r="O57" s="214">
        <f t="shared" si="18"/>
        <v>18</v>
      </c>
      <c r="P57" s="209">
        <f t="shared" si="13"/>
        <v>25</v>
      </c>
      <c r="Q57" s="210">
        <f t="shared" si="14"/>
        <v>227.27272727272728</v>
      </c>
      <c r="R57" s="169">
        <v>1500</v>
      </c>
      <c r="S57" s="130">
        <v>1500</v>
      </c>
      <c r="T57" s="130"/>
      <c r="U57" s="130"/>
      <c r="V57" s="130"/>
    </row>
    <row r="58" spans="1:22" s="165" customFormat="1" ht="21">
      <c r="A58" s="159" t="s">
        <v>442</v>
      </c>
      <c r="B58" s="131">
        <v>12</v>
      </c>
      <c r="C58" s="208">
        <v>6</v>
      </c>
      <c r="D58" s="130">
        <v>6</v>
      </c>
      <c r="E58" s="209">
        <f t="shared" si="16"/>
        <v>12</v>
      </c>
      <c r="F58" s="208"/>
      <c r="G58" s="130"/>
      <c r="H58" s="208">
        <v>4</v>
      </c>
      <c r="I58" s="130">
        <v>4</v>
      </c>
      <c r="J58" s="208">
        <v>4</v>
      </c>
      <c r="K58" s="130"/>
      <c r="L58" s="208"/>
      <c r="M58" s="130"/>
      <c r="N58" s="214">
        <f t="shared" si="18"/>
        <v>14</v>
      </c>
      <c r="O58" s="214">
        <f t="shared" si="18"/>
        <v>10</v>
      </c>
      <c r="P58" s="209">
        <f t="shared" si="13"/>
        <v>24</v>
      </c>
      <c r="Q58" s="210">
        <f t="shared" si="14"/>
        <v>200</v>
      </c>
      <c r="R58" s="169">
        <v>1500</v>
      </c>
      <c r="S58" s="130">
        <v>1500</v>
      </c>
      <c r="T58" s="130"/>
      <c r="U58" s="130"/>
      <c r="V58" s="130"/>
    </row>
    <row r="59" spans="1:22" s="165" customFormat="1" ht="21">
      <c r="A59" s="159" t="s">
        <v>443</v>
      </c>
      <c r="B59" s="131">
        <v>12</v>
      </c>
      <c r="C59" s="208">
        <v>10</v>
      </c>
      <c r="D59" s="130">
        <v>2</v>
      </c>
      <c r="E59" s="209">
        <f t="shared" si="16"/>
        <v>12</v>
      </c>
      <c r="F59" s="208"/>
      <c r="G59" s="130"/>
      <c r="H59" s="208">
        <v>7</v>
      </c>
      <c r="I59" s="130"/>
      <c r="J59" s="208">
        <v>3</v>
      </c>
      <c r="K59" s="130">
        <v>2</v>
      </c>
      <c r="L59" s="208"/>
      <c r="M59" s="130"/>
      <c r="N59" s="214">
        <f t="shared" si="18"/>
        <v>20</v>
      </c>
      <c r="O59" s="214">
        <f t="shared" si="18"/>
        <v>4</v>
      </c>
      <c r="P59" s="209">
        <f t="shared" si="13"/>
        <v>24</v>
      </c>
      <c r="Q59" s="210">
        <f t="shared" si="14"/>
        <v>200</v>
      </c>
      <c r="R59" s="169">
        <v>1500</v>
      </c>
      <c r="S59" s="130">
        <v>1500</v>
      </c>
      <c r="T59" s="130"/>
      <c r="U59" s="130"/>
      <c r="V59" s="130"/>
    </row>
    <row r="60" spans="1:22" s="165" customFormat="1" ht="21">
      <c r="A60" s="159" t="s">
        <v>444</v>
      </c>
      <c r="B60" s="131">
        <v>9</v>
      </c>
      <c r="C60" s="208">
        <v>0</v>
      </c>
      <c r="D60" s="130">
        <v>9</v>
      </c>
      <c r="E60" s="209">
        <f t="shared" si="16"/>
        <v>9</v>
      </c>
      <c r="F60" s="208"/>
      <c r="G60" s="130"/>
      <c r="H60" s="208">
        <v>3</v>
      </c>
      <c r="I60" s="130">
        <v>10</v>
      </c>
      <c r="J60" s="208"/>
      <c r="K60" s="130">
        <v>2</v>
      </c>
      <c r="L60" s="208"/>
      <c r="M60" s="130"/>
      <c r="N60" s="214">
        <f t="shared" si="18"/>
        <v>3</v>
      </c>
      <c r="O60" s="214">
        <f t="shared" si="18"/>
        <v>21</v>
      </c>
      <c r="P60" s="209">
        <f t="shared" si="13"/>
        <v>24</v>
      </c>
      <c r="Q60" s="210">
        <f t="shared" si="14"/>
        <v>266.6666666666667</v>
      </c>
      <c r="R60" s="169">
        <v>1500</v>
      </c>
      <c r="S60" s="130">
        <v>1500</v>
      </c>
      <c r="T60" s="130"/>
      <c r="U60" s="130"/>
      <c r="V60" s="130"/>
    </row>
    <row r="61" spans="1:22" s="165" customFormat="1" ht="21">
      <c r="A61" s="159" t="s">
        <v>445</v>
      </c>
      <c r="B61" s="131">
        <v>13</v>
      </c>
      <c r="C61" s="208">
        <v>8</v>
      </c>
      <c r="D61" s="130">
        <v>5</v>
      </c>
      <c r="E61" s="209">
        <f t="shared" si="16"/>
        <v>13</v>
      </c>
      <c r="F61" s="208"/>
      <c r="G61" s="130"/>
      <c r="H61" s="208">
        <v>7</v>
      </c>
      <c r="I61" s="130">
        <v>7</v>
      </c>
      <c r="J61" s="208">
        <v>3</v>
      </c>
      <c r="K61" s="130"/>
      <c r="L61" s="208"/>
      <c r="M61" s="130"/>
      <c r="N61" s="214">
        <f t="shared" si="18"/>
        <v>18</v>
      </c>
      <c r="O61" s="214">
        <f t="shared" si="18"/>
        <v>12</v>
      </c>
      <c r="P61" s="209">
        <f t="shared" si="13"/>
        <v>30</v>
      </c>
      <c r="Q61" s="210">
        <f t="shared" si="14"/>
        <v>230.76923076923077</v>
      </c>
      <c r="R61" s="169">
        <v>1500</v>
      </c>
      <c r="S61" s="130">
        <v>1500</v>
      </c>
      <c r="T61" s="130"/>
      <c r="U61" s="130"/>
      <c r="V61" s="130"/>
    </row>
    <row r="62" spans="1:22" ht="21">
      <c r="A62" s="162" t="s">
        <v>52</v>
      </c>
      <c r="B62" s="215"/>
      <c r="C62" s="208"/>
      <c r="D62" s="163"/>
      <c r="E62" s="209"/>
      <c r="F62" s="208"/>
      <c r="G62" s="163"/>
      <c r="H62" s="208"/>
      <c r="I62" s="163"/>
      <c r="J62" s="208"/>
      <c r="K62" s="163"/>
      <c r="L62" s="208"/>
      <c r="M62" s="163"/>
      <c r="N62" s="208"/>
      <c r="O62" s="149"/>
      <c r="P62" s="209"/>
      <c r="Q62" s="149"/>
      <c r="R62" s="149"/>
      <c r="S62" s="149"/>
      <c r="T62" s="149"/>
      <c r="U62" s="149"/>
      <c r="V62" s="149"/>
    </row>
    <row r="63" spans="1:22" s="165" customFormat="1" ht="21">
      <c r="A63" s="129" t="s">
        <v>53</v>
      </c>
      <c r="B63" s="131"/>
      <c r="C63" s="208"/>
      <c r="D63" s="130"/>
      <c r="E63" s="209"/>
      <c r="F63" s="208"/>
      <c r="G63" s="130"/>
      <c r="H63" s="208"/>
      <c r="I63" s="130"/>
      <c r="J63" s="208"/>
      <c r="K63" s="130"/>
      <c r="L63" s="208"/>
      <c r="M63" s="130"/>
      <c r="N63" s="208"/>
      <c r="O63" s="130"/>
      <c r="P63" s="209"/>
      <c r="Q63" s="130"/>
      <c r="R63" s="130"/>
      <c r="S63" s="130"/>
      <c r="T63" s="130"/>
      <c r="U63" s="130"/>
      <c r="V63" s="130"/>
    </row>
    <row r="64" spans="1:22" s="165" customFormat="1" ht="21">
      <c r="A64" s="129" t="s">
        <v>54</v>
      </c>
      <c r="B64" s="131"/>
      <c r="C64" s="208"/>
      <c r="D64" s="130"/>
      <c r="E64" s="209"/>
      <c r="F64" s="208"/>
      <c r="G64" s="130"/>
      <c r="H64" s="208"/>
      <c r="I64" s="130"/>
      <c r="J64" s="208"/>
      <c r="K64" s="130"/>
      <c r="L64" s="208"/>
      <c r="M64" s="130"/>
      <c r="N64" s="208"/>
      <c r="O64" s="130"/>
      <c r="P64" s="209"/>
      <c r="Q64" s="130"/>
      <c r="R64" s="130"/>
      <c r="S64" s="130"/>
      <c r="T64" s="130"/>
      <c r="U64" s="130"/>
      <c r="V64" s="130"/>
    </row>
    <row r="65" spans="1:22" s="165" customFormat="1" ht="21">
      <c r="A65" s="129" t="s">
        <v>55</v>
      </c>
      <c r="B65" s="131"/>
      <c r="C65" s="208"/>
      <c r="D65" s="130"/>
      <c r="E65" s="209"/>
      <c r="F65" s="208"/>
      <c r="G65" s="130"/>
      <c r="H65" s="208"/>
      <c r="I65" s="130"/>
      <c r="J65" s="208"/>
      <c r="K65" s="130"/>
      <c r="L65" s="208"/>
      <c r="M65" s="130"/>
      <c r="N65" s="208"/>
      <c r="O65" s="130"/>
      <c r="P65" s="209"/>
      <c r="Q65" s="130"/>
      <c r="R65" s="130"/>
      <c r="S65" s="130"/>
      <c r="T65" s="130"/>
      <c r="U65" s="130"/>
      <c r="V65" s="130"/>
    </row>
    <row r="66" spans="1:22" s="165" customFormat="1" ht="21">
      <c r="A66" s="129" t="s">
        <v>56</v>
      </c>
      <c r="B66" s="131"/>
      <c r="C66" s="208"/>
      <c r="D66" s="130"/>
      <c r="E66" s="209"/>
      <c r="F66" s="208"/>
      <c r="G66" s="130"/>
      <c r="H66" s="208"/>
      <c r="I66" s="130"/>
      <c r="J66" s="208"/>
      <c r="K66" s="130"/>
      <c r="L66" s="208"/>
      <c r="M66" s="130"/>
      <c r="N66" s="208"/>
      <c r="O66" s="130"/>
      <c r="P66" s="209"/>
      <c r="Q66" s="130"/>
      <c r="R66" s="130"/>
      <c r="S66" s="130"/>
      <c r="T66" s="130"/>
      <c r="U66" s="130"/>
      <c r="V66" s="130"/>
    </row>
    <row r="67" spans="1:22" ht="42">
      <c r="A67" s="162" t="s">
        <v>57</v>
      </c>
      <c r="B67" s="215"/>
      <c r="C67" s="208"/>
      <c r="D67" s="163"/>
      <c r="E67" s="209"/>
      <c r="F67" s="208"/>
      <c r="G67" s="163"/>
      <c r="H67" s="208"/>
      <c r="I67" s="163"/>
      <c r="J67" s="208"/>
      <c r="K67" s="163"/>
      <c r="L67" s="208"/>
      <c r="M67" s="163"/>
      <c r="N67" s="208"/>
      <c r="O67" s="149"/>
      <c r="P67" s="209"/>
      <c r="Q67" s="149"/>
      <c r="R67" s="149"/>
      <c r="S67" s="149"/>
      <c r="T67" s="149"/>
      <c r="U67" s="149"/>
      <c r="V67" s="149"/>
    </row>
    <row r="68" spans="1:22" s="165" customFormat="1" ht="21">
      <c r="A68" s="164" t="s">
        <v>58</v>
      </c>
      <c r="B68" s="131"/>
      <c r="C68" s="208"/>
      <c r="D68" s="130"/>
      <c r="E68" s="209"/>
      <c r="F68" s="208"/>
      <c r="G68" s="130"/>
      <c r="H68" s="208"/>
      <c r="I68" s="130"/>
      <c r="J68" s="208"/>
      <c r="K68" s="130"/>
      <c r="L68" s="208"/>
      <c r="M68" s="130"/>
      <c r="N68" s="208"/>
      <c r="O68" s="130"/>
      <c r="P68" s="209"/>
      <c r="Q68" s="130"/>
      <c r="R68" s="130"/>
      <c r="S68" s="130"/>
      <c r="T68" s="130"/>
      <c r="U68" s="130"/>
      <c r="V68" s="130"/>
    </row>
    <row r="69" spans="1:22" s="165" customFormat="1" ht="21">
      <c r="A69" s="129" t="s">
        <v>59</v>
      </c>
      <c r="B69" s="131"/>
      <c r="C69" s="208"/>
      <c r="D69" s="130"/>
      <c r="E69" s="209"/>
      <c r="F69" s="208"/>
      <c r="G69" s="130"/>
      <c r="H69" s="208"/>
      <c r="I69" s="130"/>
      <c r="J69" s="208"/>
      <c r="K69" s="130"/>
      <c r="L69" s="208"/>
      <c r="M69" s="130"/>
      <c r="N69" s="208"/>
      <c r="O69" s="130"/>
      <c r="P69" s="209"/>
      <c r="Q69" s="130"/>
      <c r="R69" s="130"/>
      <c r="S69" s="130"/>
      <c r="T69" s="130"/>
      <c r="U69" s="130"/>
      <c r="V69" s="130"/>
    </row>
    <row r="70" spans="1:22" s="165" customFormat="1" ht="21">
      <c r="A70" s="129" t="s">
        <v>60</v>
      </c>
      <c r="B70" s="216"/>
      <c r="C70" s="208"/>
      <c r="D70" s="130"/>
      <c r="E70" s="209"/>
      <c r="F70" s="208"/>
      <c r="G70" s="130"/>
      <c r="H70" s="208"/>
      <c r="I70" s="130"/>
      <c r="J70" s="208"/>
      <c r="K70" s="130"/>
      <c r="L70" s="208"/>
      <c r="M70" s="130"/>
      <c r="N70" s="208"/>
      <c r="O70" s="130"/>
      <c r="P70" s="209"/>
      <c r="Q70" s="130"/>
      <c r="R70" s="130"/>
      <c r="S70" s="130"/>
      <c r="T70" s="130"/>
      <c r="U70" s="130"/>
      <c r="V70" s="130"/>
    </row>
    <row r="71" spans="1:22" s="165" customFormat="1" ht="21">
      <c r="A71" s="129" t="s">
        <v>61</v>
      </c>
      <c r="B71" s="131"/>
      <c r="C71" s="208"/>
      <c r="D71" s="130"/>
      <c r="E71" s="209"/>
      <c r="F71" s="208"/>
      <c r="G71" s="130"/>
      <c r="H71" s="208"/>
      <c r="I71" s="130"/>
      <c r="J71" s="208"/>
      <c r="K71" s="130"/>
      <c r="L71" s="208"/>
      <c r="M71" s="130"/>
      <c r="N71" s="208"/>
      <c r="O71" s="130"/>
      <c r="P71" s="209"/>
      <c r="Q71" s="130"/>
      <c r="R71" s="130"/>
      <c r="S71" s="130"/>
      <c r="T71" s="130"/>
      <c r="U71" s="130"/>
      <c r="V71" s="130"/>
    </row>
    <row r="72" spans="1:22" s="165" customFormat="1" ht="21">
      <c r="A72" s="164" t="s">
        <v>62</v>
      </c>
      <c r="B72" s="131"/>
      <c r="C72" s="208"/>
      <c r="D72" s="130"/>
      <c r="E72" s="209"/>
      <c r="F72" s="208"/>
      <c r="G72" s="130"/>
      <c r="H72" s="208"/>
      <c r="I72" s="130"/>
      <c r="J72" s="208"/>
      <c r="K72" s="130"/>
      <c r="L72" s="208"/>
      <c r="M72" s="130"/>
      <c r="N72" s="208"/>
      <c r="O72" s="130"/>
      <c r="P72" s="209"/>
      <c r="Q72" s="130"/>
      <c r="R72" s="130"/>
      <c r="S72" s="130"/>
      <c r="T72" s="130"/>
      <c r="U72" s="130"/>
      <c r="V72" s="130"/>
    </row>
    <row r="73" spans="1:22" ht="21">
      <c r="A73" s="166" t="s">
        <v>63</v>
      </c>
      <c r="B73" s="215"/>
      <c r="C73" s="208"/>
      <c r="D73" s="163"/>
      <c r="E73" s="209"/>
      <c r="F73" s="208"/>
      <c r="G73" s="163"/>
      <c r="H73" s="208"/>
      <c r="I73" s="163"/>
      <c r="J73" s="208"/>
      <c r="K73" s="163"/>
      <c r="L73" s="208"/>
      <c r="M73" s="163"/>
      <c r="N73" s="208"/>
      <c r="O73" s="149"/>
      <c r="P73" s="209"/>
      <c r="Q73" s="149"/>
      <c r="R73" s="149"/>
      <c r="S73" s="149"/>
      <c r="T73" s="149"/>
      <c r="U73" s="149"/>
      <c r="V73" s="149"/>
    </row>
    <row r="74" spans="1:22" s="165" customFormat="1" ht="21">
      <c r="A74" s="168" t="s">
        <v>246</v>
      </c>
      <c r="B74" s="157">
        <v>12000</v>
      </c>
      <c r="C74" s="208">
        <v>3201</v>
      </c>
      <c r="D74" s="130">
        <v>3188</v>
      </c>
      <c r="E74" s="209">
        <f>(C74+D74)</f>
        <v>6389</v>
      </c>
      <c r="F74" s="208">
        <v>101</v>
      </c>
      <c r="G74" s="130">
        <v>216</v>
      </c>
      <c r="H74" s="208">
        <v>249</v>
      </c>
      <c r="I74" s="130">
        <v>346</v>
      </c>
      <c r="J74" s="208">
        <v>71</v>
      </c>
      <c r="K74" s="130">
        <v>152</v>
      </c>
      <c r="L74" s="208">
        <v>29</v>
      </c>
      <c r="M74" s="130">
        <v>49</v>
      </c>
      <c r="N74" s="208">
        <f>(C74+F74+H74+J74+L74)</f>
        <v>3651</v>
      </c>
      <c r="O74" s="130">
        <f>(D74+G74+I74+K74+M74)</f>
        <v>3951</v>
      </c>
      <c r="P74" s="209">
        <f>(N74+O74)</f>
        <v>7602</v>
      </c>
      <c r="Q74" s="210">
        <f>(P74*100)/B74</f>
        <v>63.35</v>
      </c>
      <c r="R74" s="169">
        <v>40000</v>
      </c>
      <c r="S74" s="130"/>
      <c r="T74" s="130"/>
      <c r="U74" s="130"/>
      <c r="V74" s="130"/>
    </row>
    <row r="75" spans="1:22" s="165" customFormat="1" ht="21">
      <c r="A75" s="168" t="s">
        <v>247</v>
      </c>
      <c r="B75" s="131">
        <v>50</v>
      </c>
      <c r="C75" s="208">
        <v>11</v>
      </c>
      <c r="D75" s="130">
        <v>16</v>
      </c>
      <c r="E75" s="209">
        <f>(C75+D75)</f>
        <v>27</v>
      </c>
      <c r="F75" s="208"/>
      <c r="G75" s="130"/>
      <c r="H75" s="208">
        <v>9</v>
      </c>
      <c r="I75" s="130">
        <v>6</v>
      </c>
      <c r="J75" s="208"/>
      <c r="K75" s="130"/>
      <c r="L75" s="208"/>
      <c r="M75" s="130"/>
      <c r="N75" s="208">
        <f>(C75+F75+H75+J75+L75)</f>
        <v>20</v>
      </c>
      <c r="O75" s="130">
        <f>(D75+G75+I75+K75+M75)</f>
        <v>22</v>
      </c>
      <c r="P75" s="209">
        <f>(N75+O75)</f>
        <v>42</v>
      </c>
      <c r="Q75" s="210">
        <f>(P75*100)/B75</f>
        <v>84</v>
      </c>
      <c r="R75" s="130"/>
      <c r="S75" s="130"/>
      <c r="T75" s="130"/>
      <c r="U75" s="130"/>
      <c r="V75" s="130"/>
    </row>
    <row r="76" spans="1:22" s="165" customFormat="1" ht="21">
      <c r="A76" s="168" t="s">
        <v>66</v>
      </c>
      <c r="B76" s="217">
        <f>SUM(B77:B85)</f>
        <v>7435</v>
      </c>
      <c r="C76" s="217">
        <f aca="true" t="shared" si="21" ref="C76:M76">SUM(C77:C85)</f>
        <v>2989</v>
      </c>
      <c r="D76" s="217">
        <f t="shared" si="21"/>
        <v>3772</v>
      </c>
      <c r="E76" s="217">
        <f t="shared" si="21"/>
        <v>6761</v>
      </c>
      <c r="F76" s="217">
        <f t="shared" si="21"/>
        <v>62</v>
      </c>
      <c r="G76" s="217">
        <f t="shared" si="21"/>
        <v>59</v>
      </c>
      <c r="H76" s="217">
        <f t="shared" si="21"/>
        <v>126</v>
      </c>
      <c r="I76" s="217">
        <f t="shared" si="21"/>
        <v>160</v>
      </c>
      <c r="J76" s="217">
        <f t="shared" si="21"/>
        <v>231</v>
      </c>
      <c r="K76" s="217">
        <f t="shared" si="21"/>
        <v>118</v>
      </c>
      <c r="L76" s="217">
        <f t="shared" si="21"/>
        <v>27</v>
      </c>
      <c r="M76" s="217">
        <f t="shared" si="21"/>
        <v>17</v>
      </c>
      <c r="N76" s="208">
        <f aca="true" t="shared" si="22" ref="N76:O108">(C76+F76+H76+J76+L76)</f>
        <v>3435</v>
      </c>
      <c r="O76" s="130">
        <f t="shared" si="22"/>
        <v>4126</v>
      </c>
      <c r="P76" s="209">
        <f aca="true" t="shared" si="23" ref="P76:P108">(N76+O76)</f>
        <v>7561</v>
      </c>
      <c r="Q76" s="130"/>
      <c r="R76" s="130"/>
      <c r="S76" s="130"/>
      <c r="T76" s="130"/>
      <c r="U76" s="130"/>
      <c r="V76" s="130"/>
    </row>
    <row r="77" spans="1:22" s="165" customFormat="1" ht="21">
      <c r="A77" s="130" t="s">
        <v>446</v>
      </c>
      <c r="B77" s="157">
        <v>3000</v>
      </c>
      <c r="C77" s="208">
        <v>1332</v>
      </c>
      <c r="D77" s="130">
        <v>1127</v>
      </c>
      <c r="E77" s="209">
        <f>(C77+D77)</f>
        <v>2459</v>
      </c>
      <c r="F77" s="208"/>
      <c r="G77" s="130"/>
      <c r="H77" s="208">
        <v>93</v>
      </c>
      <c r="I77" s="130">
        <v>52</v>
      </c>
      <c r="J77" s="208">
        <v>147</v>
      </c>
      <c r="K77" s="130">
        <v>67</v>
      </c>
      <c r="L77" s="208">
        <v>16</v>
      </c>
      <c r="M77" s="130">
        <v>3</v>
      </c>
      <c r="N77" s="208">
        <f t="shared" si="22"/>
        <v>1588</v>
      </c>
      <c r="O77" s="130">
        <f t="shared" si="22"/>
        <v>1249</v>
      </c>
      <c r="P77" s="209">
        <f t="shared" si="23"/>
        <v>2837</v>
      </c>
      <c r="Q77" s="210">
        <f>(P77*100)/B77</f>
        <v>94.56666666666666</v>
      </c>
      <c r="R77" s="130"/>
      <c r="S77" s="130"/>
      <c r="T77" s="130"/>
      <c r="U77" s="130"/>
      <c r="V77" s="130"/>
    </row>
    <row r="78" spans="1:22" s="165" customFormat="1" ht="21">
      <c r="A78" s="130" t="s">
        <v>447</v>
      </c>
      <c r="B78" s="157">
        <v>3000</v>
      </c>
      <c r="C78" s="208">
        <v>1251</v>
      </c>
      <c r="D78" s="130">
        <v>2247</v>
      </c>
      <c r="E78" s="209">
        <f>(C78+D78)</f>
        <v>3498</v>
      </c>
      <c r="F78" s="208">
        <v>62</v>
      </c>
      <c r="G78" s="130">
        <v>59</v>
      </c>
      <c r="H78" s="208">
        <v>33</v>
      </c>
      <c r="I78" s="130">
        <v>108</v>
      </c>
      <c r="J78" s="208">
        <v>84</v>
      </c>
      <c r="K78" s="130">
        <v>51</v>
      </c>
      <c r="L78" s="208">
        <v>11</v>
      </c>
      <c r="M78" s="130">
        <v>14</v>
      </c>
      <c r="N78" s="208">
        <f t="shared" si="22"/>
        <v>1441</v>
      </c>
      <c r="O78" s="130">
        <f t="shared" si="22"/>
        <v>2479</v>
      </c>
      <c r="P78" s="209">
        <f t="shared" si="23"/>
        <v>3920</v>
      </c>
      <c r="Q78" s="210">
        <f>(P78*100)/B78</f>
        <v>130.66666666666666</v>
      </c>
      <c r="R78" s="130"/>
      <c r="S78" s="130"/>
      <c r="T78" s="130"/>
      <c r="U78" s="130"/>
      <c r="V78" s="130"/>
    </row>
    <row r="79" spans="1:22" s="165" customFormat="1" ht="21">
      <c r="A79" s="130" t="s">
        <v>448</v>
      </c>
      <c r="B79" s="157">
        <v>200</v>
      </c>
      <c r="C79" s="208">
        <v>333</v>
      </c>
      <c r="D79" s="130">
        <v>280</v>
      </c>
      <c r="E79" s="209">
        <f>(C79+D79)</f>
        <v>613</v>
      </c>
      <c r="F79" s="208"/>
      <c r="G79" s="130"/>
      <c r="H79" s="208"/>
      <c r="I79" s="130"/>
      <c r="J79" s="208"/>
      <c r="K79" s="130"/>
      <c r="L79" s="208"/>
      <c r="M79" s="130"/>
      <c r="N79" s="208">
        <f t="shared" si="22"/>
        <v>333</v>
      </c>
      <c r="O79" s="130">
        <f t="shared" si="22"/>
        <v>280</v>
      </c>
      <c r="P79" s="209">
        <f t="shared" si="23"/>
        <v>613</v>
      </c>
      <c r="Q79" s="210">
        <f>(P79*100)/B79</f>
        <v>306.5</v>
      </c>
      <c r="R79" s="130"/>
      <c r="S79" s="130"/>
      <c r="T79" s="130"/>
      <c r="U79" s="130"/>
      <c r="V79" s="130"/>
    </row>
    <row r="80" spans="1:22" s="165" customFormat="1" ht="21">
      <c r="A80" s="130" t="s">
        <v>449</v>
      </c>
      <c r="B80" s="131">
        <v>200</v>
      </c>
      <c r="C80" s="208"/>
      <c r="D80" s="130"/>
      <c r="E80" s="209">
        <f aca="true" t="shared" si="24" ref="E80:E108">(C80+D80)</f>
        <v>0</v>
      </c>
      <c r="F80" s="208"/>
      <c r="G80" s="130"/>
      <c r="H80" s="208"/>
      <c r="I80" s="130"/>
      <c r="J80" s="208"/>
      <c r="K80" s="130"/>
      <c r="L80" s="208"/>
      <c r="M80" s="130"/>
      <c r="N80" s="208">
        <f t="shared" si="22"/>
        <v>0</v>
      </c>
      <c r="O80" s="130">
        <f t="shared" si="22"/>
        <v>0</v>
      </c>
      <c r="P80" s="209">
        <f t="shared" si="23"/>
        <v>0</v>
      </c>
      <c r="Q80" s="210">
        <f aca="true" t="shared" si="25" ref="Q80:Q85">(P80*100)/B80</f>
        <v>0</v>
      </c>
      <c r="R80" s="130"/>
      <c r="S80" s="130"/>
      <c r="T80" s="130"/>
      <c r="U80" s="130"/>
      <c r="V80" s="130"/>
    </row>
    <row r="81" spans="1:22" s="165" customFormat="1" ht="21">
      <c r="A81" s="130" t="s">
        <v>450</v>
      </c>
      <c r="B81" s="131">
        <v>5</v>
      </c>
      <c r="C81" s="208"/>
      <c r="D81" s="130"/>
      <c r="E81" s="209">
        <f t="shared" si="24"/>
        <v>0</v>
      </c>
      <c r="F81" s="208"/>
      <c r="G81" s="130"/>
      <c r="H81" s="208"/>
      <c r="I81" s="130"/>
      <c r="J81" s="208"/>
      <c r="K81" s="130"/>
      <c r="L81" s="208"/>
      <c r="M81" s="130"/>
      <c r="N81" s="208">
        <f t="shared" si="22"/>
        <v>0</v>
      </c>
      <c r="O81" s="130">
        <f t="shared" si="22"/>
        <v>0</v>
      </c>
      <c r="P81" s="209">
        <f t="shared" si="23"/>
        <v>0</v>
      </c>
      <c r="Q81" s="210">
        <f t="shared" si="25"/>
        <v>0</v>
      </c>
      <c r="R81" s="130"/>
      <c r="S81" s="130"/>
      <c r="T81" s="130"/>
      <c r="U81" s="130"/>
      <c r="V81" s="130"/>
    </row>
    <row r="82" spans="1:22" s="165" customFormat="1" ht="21">
      <c r="A82" s="130" t="s">
        <v>451</v>
      </c>
      <c r="B82" s="131">
        <v>500</v>
      </c>
      <c r="C82" s="208">
        <v>42</v>
      </c>
      <c r="D82" s="130">
        <v>60</v>
      </c>
      <c r="E82" s="209">
        <f t="shared" si="24"/>
        <v>102</v>
      </c>
      <c r="F82" s="208"/>
      <c r="G82" s="130"/>
      <c r="H82" s="208"/>
      <c r="I82" s="130"/>
      <c r="J82" s="208"/>
      <c r="K82" s="130"/>
      <c r="L82" s="208"/>
      <c r="M82" s="130"/>
      <c r="N82" s="208">
        <f t="shared" si="22"/>
        <v>42</v>
      </c>
      <c r="O82" s="130">
        <f t="shared" si="22"/>
        <v>60</v>
      </c>
      <c r="P82" s="209">
        <f t="shared" si="23"/>
        <v>102</v>
      </c>
      <c r="Q82" s="210">
        <f t="shared" si="25"/>
        <v>20.4</v>
      </c>
      <c r="R82" s="130"/>
      <c r="S82" s="130"/>
      <c r="T82" s="130"/>
      <c r="U82" s="130"/>
      <c r="V82" s="130"/>
    </row>
    <row r="83" spans="1:22" s="165" customFormat="1" ht="21">
      <c r="A83" s="130" t="s">
        <v>452</v>
      </c>
      <c r="B83" s="131">
        <v>100</v>
      </c>
      <c r="C83" s="208">
        <v>29</v>
      </c>
      <c r="D83" s="130">
        <v>52</v>
      </c>
      <c r="E83" s="209">
        <f t="shared" si="24"/>
        <v>81</v>
      </c>
      <c r="F83" s="208"/>
      <c r="G83" s="130"/>
      <c r="H83" s="208"/>
      <c r="I83" s="130"/>
      <c r="J83" s="208"/>
      <c r="K83" s="130"/>
      <c r="L83" s="208"/>
      <c r="M83" s="130"/>
      <c r="N83" s="208">
        <f t="shared" si="22"/>
        <v>29</v>
      </c>
      <c r="O83" s="130">
        <f t="shared" si="22"/>
        <v>52</v>
      </c>
      <c r="P83" s="209">
        <f t="shared" si="23"/>
        <v>81</v>
      </c>
      <c r="Q83" s="210">
        <f t="shared" si="25"/>
        <v>81</v>
      </c>
      <c r="R83" s="130"/>
      <c r="S83" s="130"/>
      <c r="T83" s="130"/>
      <c r="U83" s="130"/>
      <c r="V83" s="130"/>
    </row>
    <row r="84" spans="1:22" s="165" customFormat="1" ht="21">
      <c r="A84" s="130" t="s">
        <v>453</v>
      </c>
      <c r="B84" s="131">
        <v>400</v>
      </c>
      <c r="C84" s="208"/>
      <c r="D84" s="130"/>
      <c r="E84" s="209">
        <f t="shared" si="24"/>
        <v>0</v>
      </c>
      <c r="F84" s="208"/>
      <c r="G84" s="130"/>
      <c r="H84" s="208"/>
      <c r="I84" s="130"/>
      <c r="J84" s="208"/>
      <c r="K84" s="130"/>
      <c r="L84" s="208"/>
      <c r="M84" s="130"/>
      <c r="N84" s="208">
        <f t="shared" si="22"/>
        <v>0</v>
      </c>
      <c r="O84" s="130">
        <f t="shared" si="22"/>
        <v>0</v>
      </c>
      <c r="P84" s="209">
        <f t="shared" si="23"/>
        <v>0</v>
      </c>
      <c r="Q84" s="210">
        <f t="shared" si="25"/>
        <v>0</v>
      </c>
      <c r="R84" s="130"/>
      <c r="S84" s="130"/>
      <c r="T84" s="130"/>
      <c r="U84" s="130"/>
      <c r="V84" s="130"/>
    </row>
    <row r="85" spans="1:22" s="165" customFormat="1" ht="21">
      <c r="A85" s="130" t="s">
        <v>454</v>
      </c>
      <c r="B85" s="131">
        <v>30</v>
      </c>
      <c r="C85" s="208">
        <v>2</v>
      </c>
      <c r="D85" s="130">
        <v>6</v>
      </c>
      <c r="E85" s="209">
        <f t="shared" si="24"/>
        <v>8</v>
      </c>
      <c r="F85" s="208"/>
      <c r="G85" s="130"/>
      <c r="H85" s="208"/>
      <c r="I85" s="130"/>
      <c r="J85" s="208"/>
      <c r="K85" s="130"/>
      <c r="L85" s="208"/>
      <c r="M85" s="130"/>
      <c r="N85" s="208">
        <f t="shared" si="22"/>
        <v>2</v>
      </c>
      <c r="O85" s="130">
        <f t="shared" si="22"/>
        <v>6</v>
      </c>
      <c r="P85" s="209">
        <f t="shared" si="23"/>
        <v>8</v>
      </c>
      <c r="Q85" s="210">
        <f t="shared" si="25"/>
        <v>26.666666666666668</v>
      </c>
      <c r="R85" s="130"/>
      <c r="S85" s="130"/>
      <c r="T85" s="130"/>
      <c r="U85" s="130"/>
      <c r="V85" s="130"/>
    </row>
    <row r="86" spans="1:22" s="165" customFormat="1" ht="21">
      <c r="A86" s="168" t="s">
        <v>71</v>
      </c>
      <c r="B86" s="212"/>
      <c r="C86" s="208">
        <f>C87+C91+C94</f>
        <v>3793</v>
      </c>
      <c r="D86" s="208">
        <f>D87+D91+D94</f>
        <v>4880</v>
      </c>
      <c r="E86" s="208">
        <f t="shared" si="24"/>
        <v>8673</v>
      </c>
      <c r="F86" s="218">
        <f aca="true" t="shared" si="26" ref="F86:M86">(F87+F91+F94)</f>
        <v>90</v>
      </c>
      <c r="G86" s="218">
        <f t="shared" si="26"/>
        <v>117</v>
      </c>
      <c r="H86" s="218">
        <f t="shared" si="26"/>
        <v>400</v>
      </c>
      <c r="I86" s="218">
        <f t="shared" si="26"/>
        <v>461</v>
      </c>
      <c r="J86" s="218">
        <f t="shared" si="26"/>
        <v>219</v>
      </c>
      <c r="K86" s="218">
        <f t="shared" si="26"/>
        <v>319</v>
      </c>
      <c r="L86" s="218">
        <f t="shared" si="26"/>
        <v>19</v>
      </c>
      <c r="M86" s="218">
        <f t="shared" si="26"/>
        <v>11</v>
      </c>
      <c r="N86" s="208">
        <f t="shared" si="22"/>
        <v>4521</v>
      </c>
      <c r="O86" s="130">
        <f t="shared" si="22"/>
        <v>5788</v>
      </c>
      <c r="P86" s="209">
        <f t="shared" si="23"/>
        <v>10309</v>
      </c>
      <c r="Q86" s="130"/>
      <c r="R86" s="130"/>
      <c r="S86" s="130"/>
      <c r="T86" s="130"/>
      <c r="U86" s="130"/>
      <c r="V86" s="130"/>
    </row>
    <row r="87" spans="1:22" s="165" customFormat="1" ht="21">
      <c r="A87" s="168" t="s">
        <v>455</v>
      </c>
      <c r="B87" s="158"/>
      <c r="C87" s="218">
        <f>C88+C89</f>
        <v>1512</v>
      </c>
      <c r="D87" s="219">
        <f>D88+D89</f>
        <v>1955</v>
      </c>
      <c r="E87" s="209">
        <f t="shared" si="24"/>
        <v>3467</v>
      </c>
      <c r="F87" s="218">
        <f>SUM(F88:F89)</f>
        <v>7</v>
      </c>
      <c r="G87" s="219">
        <f aca="true" t="shared" si="27" ref="G87:M87">SUM(G88:G89)</f>
        <v>27</v>
      </c>
      <c r="H87" s="219">
        <f t="shared" si="27"/>
        <v>205</v>
      </c>
      <c r="I87" s="219">
        <f t="shared" si="27"/>
        <v>241</v>
      </c>
      <c r="J87" s="219">
        <f t="shared" si="27"/>
        <v>60</v>
      </c>
      <c r="K87" s="219">
        <f t="shared" si="27"/>
        <v>93</v>
      </c>
      <c r="L87" s="219">
        <f t="shared" si="27"/>
        <v>3</v>
      </c>
      <c r="M87" s="219">
        <f t="shared" si="27"/>
        <v>2</v>
      </c>
      <c r="N87" s="220">
        <f t="shared" si="22"/>
        <v>1787</v>
      </c>
      <c r="O87" s="220">
        <f t="shared" si="22"/>
        <v>2318</v>
      </c>
      <c r="P87" s="209">
        <f t="shared" si="23"/>
        <v>4105</v>
      </c>
      <c r="Q87" s="130"/>
      <c r="R87" s="169">
        <v>30000</v>
      </c>
      <c r="S87" s="130"/>
      <c r="T87" s="130"/>
      <c r="U87" s="130"/>
      <c r="V87" s="130"/>
    </row>
    <row r="88" spans="1:22" ht="21">
      <c r="A88" s="149" t="s">
        <v>456</v>
      </c>
      <c r="B88" s="146">
        <v>1800</v>
      </c>
      <c r="C88" s="208">
        <v>839</v>
      </c>
      <c r="D88" s="149">
        <v>1122</v>
      </c>
      <c r="E88" s="209">
        <f t="shared" si="24"/>
        <v>1961</v>
      </c>
      <c r="F88" s="208">
        <v>3</v>
      </c>
      <c r="G88" s="149">
        <v>11</v>
      </c>
      <c r="H88" s="208">
        <v>99</v>
      </c>
      <c r="I88" s="149">
        <v>127</v>
      </c>
      <c r="J88" s="208">
        <v>38</v>
      </c>
      <c r="K88" s="149">
        <v>44</v>
      </c>
      <c r="L88" s="208">
        <v>3</v>
      </c>
      <c r="M88" s="149">
        <v>2</v>
      </c>
      <c r="N88" s="208">
        <f t="shared" si="22"/>
        <v>982</v>
      </c>
      <c r="O88" s="130">
        <f t="shared" si="22"/>
        <v>1306</v>
      </c>
      <c r="P88" s="209">
        <f t="shared" si="23"/>
        <v>2288</v>
      </c>
      <c r="Q88" s="210">
        <f aca="true" t="shared" si="28" ref="Q88:Q96">(P88*100)/B88</f>
        <v>127.11111111111111</v>
      </c>
      <c r="R88" s="149"/>
      <c r="S88" s="149"/>
      <c r="T88" s="149"/>
      <c r="U88" s="149"/>
      <c r="V88" s="149"/>
    </row>
    <row r="89" spans="1:22" ht="21">
      <c r="A89" s="149" t="s">
        <v>457</v>
      </c>
      <c r="B89" s="146">
        <v>1200</v>
      </c>
      <c r="C89" s="208">
        <v>673</v>
      </c>
      <c r="D89" s="149">
        <v>833</v>
      </c>
      <c r="E89" s="209">
        <f t="shared" si="24"/>
        <v>1506</v>
      </c>
      <c r="F89" s="208">
        <v>4</v>
      </c>
      <c r="G89" s="149">
        <v>16</v>
      </c>
      <c r="H89" s="208">
        <v>106</v>
      </c>
      <c r="I89" s="149">
        <v>114</v>
      </c>
      <c r="J89" s="208">
        <v>22</v>
      </c>
      <c r="K89" s="149">
        <v>49</v>
      </c>
      <c r="L89" s="208"/>
      <c r="M89" s="149"/>
      <c r="N89" s="208">
        <f t="shared" si="22"/>
        <v>805</v>
      </c>
      <c r="O89" s="130">
        <f t="shared" si="22"/>
        <v>1012</v>
      </c>
      <c r="P89" s="209">
        <f t="shared" si="23"/>
        <v>1817</v>
      </c>
      <c r="Q89" s="210">
        <f t="shared" si="28"/>
        <v>151.41666666666666</v>
      </c>
      <c r="R89" s="149"/>
      <c r="S89" s="149"/>
      <c r="T89" s="149"/>
      <c r="U89" s="149"/>
      <c r="V89" s="149"/>
    </row>
    <row r="90" spans="1:22" ht="21">
      <c r="A90" s="149" t="s">
        <v>458</v>
      </c>
      <c r="B90" s="146">
        <v>100</v>
      </c>
      <c r="C90" s="208">
        <v>72</v>
      </c>
      <c r="D90" s="149">
        <v>84</v>
      </c>
      <c r="E90" s="209">
        <f t="shared" si="24"/>
        <v>156</v>
      </c>
      <c r="F90" s="208"/>
      <c r="G90" s="149"/>
      <c r="H90" s="208"/>
      <c r="I90" s="149"/>
      <c r="J90" s="208"/>
      <c r="K90" s="149"/>
      <c r="L90" s="208"/>
      <c r="M90" s="149"/>
      <c r="N90" s="208">
        <f t="shared" si="22"/>
        <v>72</v>
      </c>
      <c r="O90" s="130">
        <f t="shared" si="22"/>
        <v>84</v>
      </c>
      <c r="P90" s="209">
        <f t="shared" si="23"/>
        <v>156</v>
      </c>
      <c r="Q90" s="210">
        <f t="shared" si="28"/>
        <v>156</v>
      </c>
      <c r="R90" s="149"/>
      <c r="S90" s="149"/>
      <c r="T90" s="149"/>
      <c r="U90" s="149"/>
      <c r="V90" s="149"/>
    </row>
    <row r="91" spans="1:22" ht="21">
      <c r="A91" s="168" t="s">
        <v>459</v>
      </c>
      <c r="B91" s="146"/>
      <c r="C91" s="208">
        <f>C92+C93</f>
        <v>1336</v>
      </c>
      <c r="D91" s="220">
        <f>D92+D93</f>
        <v>1854</v>
      </c>
      <c r="E91" s="209">
        <f t="shared" si="24"/>
        <v>3190</v>
      </c>
      <c r="F91" s="218">
        <f>SUM(F92:F93)</f>
        <v>50</v>
      </c>
      <c r="G91" s="219">
        <f aca="true" t="shared" si="29" ref="G91:M91">SUM(G92:G93)</f>
        <v>39</v>
      </c>
      <c r="H91" s="219">
        <f t="shared" si="29"/>
        <v>123</v>
      </c>
      <c r="I91" s="219">
        <f t="shared" si="29"/>
        <v>140</v>
      </c>
      <c r="J91" s="219">
        <f t="shared" si="29"/>
        <v>95</v>
      </c>
      <c r="K91" s="219">
        <f t="shared" si="29"/>
        <v>143</v>
      </c>
      <c r="L91" s="219">
        <f t="shared" si="29"/>
        <v>16</v>
      </c>
      <c r="M91" s="219">
        <f t="shared" si="29"/>
        <v>9</v>
      </c>
      <c r="N91" s="208">
        <f t="shared" si="22"/>
        <v>1620</v>
      </c>
      <c r="O91" s="220">
        <f t="shared" si="22"/>
        <v>2185</v>
      </c>
      <c r="P91" s="209">
        <f t="shared" si="23"/>
        <v>3805</v>
      </c>
      <c r="Q91" s="149"/>
      <c r="R91" s="149"/>
      <c r="S91" s="149"/>
      <c r="T91" s="149"/>
      <c r="U91" s="149"/>
      <c r="V91" s="149"/>
    </row>
    <row r="92" spans="1:22" ht="21">
      <c r="A92" s="149" t="s">
        <v>456</v>
      </c>
      <c r="B92" s="146">
        <v>1800</v>
      </c>
      <c r="C92" s="208">
        <v>728</v>
      </c>
      <c r="D92" s="149">
        <v>1064</v>
      </c>
      <c r="E92" s="209">
        <f t="shared" si="24"/>
        <v>1792</v>
      </c>
      <c r="F92" s="208">
        <v>26</v>
      </c>
      <c r="G92" s="149">
        <v>20</v>
      </c>
      <c r="H92" s="208">
        <v>62</v>
      </c>
      <c r="I92" s="149">
        <v>70</v>
      </c>
      <c r="J92" s="208">
        <v>49</v>
      </c>
      <c r="K92" s="149">
        <v>67</v>
      </c>
      <c r="L92" s="208">
        <v>10</v>
      </c>
      <c r="M92" s="149">
        <v>6</v>
      </c>
      <c r="N92" s="208">
        <f t="shared" si="22"/>
        <v>875</v>
      </c>
      <c r="O92" s="130">
        <f t="shared" si="22"/>
        <v>1227</v>
      </c>
      <c r="P92" s="209">
        <f t="shared" si="23"/>
        <v>2102</v>
      </c>
      <c r="Q92" s="210">
        <f t="shared" si="28"/>
        <v>116.77777777777777</v>
      </c>
      <c r="R92" s="149"/>
      <c r="S92" s="149"/>
      <c r="T92" s="149"/>
      <c r="U92" s="149"/>
      <c r="V92" s="149"/>
    </row>
    <row r="93" spans="1:22" ht="21">
      <c r="A93" s="149" t="s">
        <v>457</v>
      </c>
      <c r="B93" s="146">
        <v>1200</v>
      </c>
      <c r="C93" s="208">
        <v>608</v>
      </c>
      <c r="D93" s="149">
        <v>790</v>
      </c>
      <c r="E93" s="209">
        <f t="shared" si="24"/>
        <v>1398</v>
      </c>
      <c r="F93" s="208">
        <v>24</v>
      </c>
      <c r="G93" s="149">
        <v>19</v>
      </c>
      <c r="H93" s="208">
        <v>61</v>
      </c>
      <c r="I93" s="149">
        <v>70</v>
      </c>
      <c r="J93" s="208">
        <v>46</v>
      </c>
      <c r="K93" s="149">
        <v>76</v>
      </c>
      <c r="L93" s="208">
        <v>6</v>
      </c>
      <c r="M93" s="149">
        <v>3</v>
      </c>
      <c r="N93" s="208">
        <f t="shared" si="22"/>
        <v>745</v>
      </c>
      <c r="O93" s="130">
        <f t="shared" si="22"/>
        <v>958</v>
      </c>
      <c r="P93" s="209">
        <f t="shared" si="23"/>
        <v>1703</v>
      </c>
      <c r="Q93" s="210">
        <f t="shared" si="28"/>
        <v>141.91666666666666</v>
      </c>
      <c r="R93" s="149"/>
      <c r="S93" s="149"/>
      <c r="T93" s="149"/>
      <c r="U93" s="149"/>
      <c r="V93" s="149"/>
    </row>
    <row r="94" spans="1:22" ht="21">
      <c r="A94" s="168" t="s">
        <v>460</v>
      </c>
      <c r="B94" s="146"/>
      <c r="C94" s="218">
        <f>SUM(C95:C96)</f>
        <v>945</v>
      </c>
      <c r="D94" s="218">
        <f>SUM(D95:D96)</f>
        <v>1071</v>
      </c>
      <c r="E94" s="209">
        <f t="shared" si="24"/>
        <v>2016</v>
      </c>
      <c r="F94" s="218">
        <f aca="true" t="shared" si="30" ref="F94:M94">SUM(F95:F96)</f>
        <v>33</v>
      </c>
      <c r="G94" s="218">
        <f t="shared" si="30"/>
        <v>51</v>
      </c>
      <c r="H94" s="218">
        <f t="shared" si="30"/>
        <v>72</v>
      </c>
      <c r="I94" s="218">
        <f t="shared" si="30"/>
        <v>80</v>
      </c>
      <c r="J94" s="218">
        <f t="shared" si="30"/>
        <v>64</v>
      </c>
      <c r="K94" s="218">
        <f t="shared" si="30"/>
        <v>83</v>
      </c>
      <c r="L94" s="218">
        <f t="shared" si="30"/>
        <v>0</v>
      </c>
      <c r="M94" s="218">
        <f t="shared" si="30"/>
        <v>0</v>
      </c>
      <c r="N94" s="208">
        <f t="shared" si="22"/>
        <v>1114</v>
      </c>
      <c r="O94" s="220">
        <f t="shared" si="22"/>
        <v>1285</v>
      </c>
      <c r="P94" s="209">
        <f t="shared" si="23"/>
        <v>2399</v>
      </c>
      <c r="Q94" s="149"/>
      <c r="R94" s="149"/>
      <c r="S94" s="149"/>
      <c r="T94" s="149"/>
      <c r="U94" s="149"/>
      <c r="V94" s="149"/>
    </row>
    <row r="95" spans="1:22" ht="21">
      <c r="A95" s="149" t="s">
        <v>456</v>
      </c>
      <c r="B95" s="146">
        <v>1800</v>
      </c>
      <c r="C95" s="208">
        <v>485</v>
      </c>
      <c r="D95" s="149">
        <v>594</v>
      </c>
      <c r="E95" s="209">
        <f t="shared" si="24"/>
        <v>1079</v>
      </c>
      <c r="F95" s="208">
        <v>15</v>
      </c>
      <c r="G95" s="149">
        <v>26</v>
      </c>
      <c r="H95" s="208">
        <v>36</v>
      </c>
      <c r="I95" s="149">
        <v>42</v>
      </c>
      <c r="J95" s="208">
        <v>32</v>
      </c>
      <c r="K95" s="149">
        <v>43</v>
      </c>
      <c r="L95" s="208"/>
      <c r="M95" s="149"/>
      <c r="N95" s="208">
        <f t="shared" si="22"/>
        <v>568</v>
      </c>
      <c r="O95" s="130">
        <f t="shared" si="22"/>
        <v>705</v>
      </c>
      <c r="P95" s="209">
        <f t="shared" si="23"/>
        <v>1273</v>
      </c>
      <c r="Q95" s="210">
        <f t="shared" si="28"/>
        <v>70.72222222222223</v>
      </c>
      <c r="R95" s="149"/>
      <c r="S95" s="149"/>
      <c r="T95" s="149"/>
      <c r="U95" s="149"/>
      <c r="V95" s="149"/>
    </row>
    <row r="96" spans="1:22" ht="21">
      <c r="A96" s="149" t="s">
        <v>457</v>
      </c>
      <c r="B96" s="146">
        <v>1200</v>
      </c>
      <c r="C96" s="208">
        <v>460</v>
      </c>
      <c r="D96" s="149">
        <v>477</v>
      </c>
      <c r="E96" s="209">
        <f t="shared" si="24"/>
        <v>937</v>
      </c>
      <c r="F96" s="208">
        <v>18</v>
      </c>
      <c r="G96" s="149">
        <v>25</v>
      </c>
      <c r="H96" s="208">
        <v>36</v>
      </c>
      <c r="I96" s="149">
        <v>38</v>
      </c>
      <c r="J96" s="208">
        <v>32</v>
      </c>
      <c r="K96" s="149">
        <v>40</v>
      </c>
      <c r="L96" s="208"/>
      <c r="M96" s="149"/>
      <c r="N96" s="208">
        <f t="shared" si="22"/>
        <v>546</v>
      </c>
      <c r="O96" s="130">
        <f t="shared" si="22"/>
        <v>580</v>
      </c>
      <c r="P96" s="209">
        <f t="shared" si="23"/>
        <v>1126</v>
      </c>
      <c r="Q96" s="210">
        <f t="shared" si="28"/>
        <v>93.83333333333333</v>
      </c>
      <c r="R96" s="149"/>
      <c r="S96" s="149"/>
      <c r="T96" s="149"/>
      <c r="U96" s="149"/>
      <c r="V96" s="149"/>
    </row>
    <row r="97" spans="1:22" ht="21">
      <c r="A97" s="185" t="s">
        <v>75</v>
      </c>
      <c r="B97" s="217">
        <f>SUM(B98:B108)</f>
        <v>39600</v>
      </c>
      <c r="C97" s="217">
        <f aca="true" t="shared" si="31" ref="C97:M97">SUM(C98:C108)</f>
        <v>15022</v>
      </c>
      <c r="D97" s="217">
        <f t="shared" si="31"/>
        <v>14447</v>
      </c>
      <c r="E97" s="217">
        <f t="shared" si="31"/>
        <v>29469</v>
      </c>
      <c r="F97" s="217">
        <f t="shared" si="31"/>
        <v>225</v>
      </c>
      <c r="G97" s="217">
        <f t="shared" si="31"/>
        <v>305</v>
      </c>
      <c r="H97" s="217">
        <f t="shared" si="31"/>
        <v>870</v>
      </c>
      <c r="I97" s="217">
        <f t="shared" si="31"/>
        <v>916</v>
      </c>
      <c r="J97" s="217">
        <f t="shared" si="31"/>
        <v>767</v>
      </c>
      <c r="K97" s="217">
        <f t="shared" si="31"/>
        <v>711</v>
      </c>
      <c r="L97" s="217">
        <f t="shared" si="31"/>
        <v>274</v>
      </c>
      <c r="M97" s="217">
        <f t="shared" si="31"/>
        <v>207</v>
      </c>
      <c r="N97" s="208">
        <f t="shared" si="22"/>
        <v>17158</v>
      </c>
      <c r="O97" s="208">
        <f t="shared" si="22"/>
        <v>16586</v>
      </c>
      <c r="P97" s="208">
        <f t="shared" si="23"/>
        <v>33744</v>
      </c>
      <c r="Q97" s="221">
        <f>(P97*100)/B97</f>
        <v>85.21212121212122</v>
      </c>
      <c r="R97" s="213">
        <v>111980</v>
      </c>
      <c r="S97" s="149"/>
      <c r="T97" s="149"/>
      <c r="U97" s="149"/>
      <c r="V97" s="149"/>
    </row>
    <row r="98" spans="1:22" ht="21">
      <c r="A98" s="149" t="s">
        <v>461</v>
      </c>
      <c r="B98" s="222">
        <v>3600</v>
      </c>
      <c r="C98" s="208">
        <v>1461</v>
      </c>
      <c r="D98" s="149">
        <v>2005</v>
      </c>
      <c r="E98" s="209">
        <f t="shared" si="24"/>
        <v>3466</v>
      </c>
      <c r="F98" s="208">
        <v>15</v>
      </c>
      <c r="G98" s="149">
        <v>30</v>
      </c>
      <c r="H98" s="208">
        <v>115</v>
      </c>
      <c r="I98" s="149">
        <v>198</v>
      </c>
      <c r="J98" s="208">
        <v>81</v>
      </c>
      <c r="K98" s="149">
        <v>102</v>
      </c>
      <c r="L98" s="208">
        <v>3</v>
      </c>
      <c r="M98" s="149">
        <v>7</v>
      </c>
      <c r="N98" s="208">
        <f t="shared" si="22"/>
        <v>1675</v>
      </c>
      <c r="O98" s="130">
        <f t="shared" si="22"/>
        <v>2342</v>
      </c>
      <c r="P98" s="209">
        <f t="shared" si="23"/>
        <v>4017</v>
      </c>
      <c r="Q98" s="210">
        <f>(P98*100)/B98</f>
        <v>111.58333333333333</v>
      </c>
      <c r="R98" s="149"/>
      <c r="S98" s="149"/>
      <c r="T98" s="149"/>
      <c r="U98" s="149"/>
      <c r="V98" s="149"/>
    </row>
    <row r="99" spans="1:22" ht="21">
      <c r="A99" s="149" t="s">
        <v>462</v>
      </c>
      <c r="B99" s="222">
        <v>3600</v>
      </c>
      <c r="C99" s="208">
        <v>1385</v>
      </c>
      <c r="D99" s="149">
        <v>1745</v>
      </c>
      <c r="E99" s="209">
        <f t="shared" si="24"/>
        <v>3130</v>
      </c>
      <c r="F99" s="208">
        <v>7</v>
      </c>
      <c r="G99" s="149">
        <v>13</v>
      </c>
      <c r="H99" s="208">
        <v>121</v>
      </c>
      <c r="I99" s="149">
        <v>183</v>
      </c>
      <c r="J99" s="208">
        <v>77</v>
      </c>
      <c r="K99" s="149">
        <v>101</v>
      </c>
      <c r="L99" s="208">
        <v>2</v>
      </c>
      <c r="M99" s="149">
        <v>17</v>
      </c>
      <c r="N99" s="208">
        <f t="shared" si="22"/>
        <v>1592</v>
      </c>
      <c r="O99" s="130">
        <f t="shared" si="22"/>
        <v>2059</v>
      </c>
      <c r="P99" s="209">
        <f t="shared" si="23"/>
        <v>3651</v>
      </c>
      <c r="Q99" s="210">
        <f aca="true" t="shared" si="32" ref="Q99:Q108">(P99*100)/B99</f>
        <v>101.41666666666667</v>
      </c>
      <c r="R99" s="149"/>
      <c r="S99" s="149"/>
      <c r="T99" s="149"/>
      <c r="U99" s="149"/>
      <c r="V99" s="149"/>
    </row>
    <row r="100" spans="1:22" ht="21">
      <c r="A100" s="149" t="s">
        <v>463</v>
      </c>
      <c r="B100" s="222">
        <v>3600</v>
      </c>
      <c r="C100" s="208">
        <v>1946</v>
      </c>
      <c r="D100" s="149">
        <v>1227</v>
      </c>
      <c r="E100" s="209">
        <f t="shared" si="24"/>
        <v>3173</v>
      </c>
      <c r="F100" s="208">
        <v>15</v>
      </c>
      <c r="G100" s="149">
        <v>30</v>
      </c>
      <c r="H100" s="208">
        <v>96</v>
      </c>
      <c r="I100" s="149">
        <v>74</v>
      </c>
      <c r="J100" s="208">
        <v>94</v>
      </c>
      <c r="K100" s="149">
        <v>65</v>
      </c>
      <c r="L100" s="208">
        <v>62</v>
      </c>
      <c r="M100" s="149">
        <v>35</v>
      </c>
      <c r="N100" s="208">
        <f t="shared" si="22"/>
        <v>2213</v>
      </c>
      <c r="O100" s="130">
        <f t="shared" si="22"/>
        <v>1431</v>
      </c>
      <c r="P100" s="209">
        <f t="shared" si="23"/>
        <v>3644</v>
      </c>
      <c r="Q100" s="210">
        <f t="shared" si="32"/>
        <v>101.22222222222223</v>
      </c>
      <c r="R100" s="149"/>
      <c r="S100" s="149"/>
      <c r="T100" s="149"/>
      <c r="U100" s="149"/>
      <c r="V100" s="149"/>
    </row>
    <row r="101" spans="1:22" ht="21">
      <c r="A101" s="149" t="s">
        <v>464</v>
      </c>
      <c r="B101" s="222">
        <v>3600</v>
      </c>
      <c r="C101" s="208">
        <v>1247</v>
      </c>
      <c r="D101" s="149">
        <v>1256</v>
      </c>
      <c r="E101" s="209">
        <f t="shared" si="24"/>
        <v>2503</v>
      </c>
      <c r="F101" s="208">
        <v>11</v>
      </c>
      <c r="G101" s="149">
        <v>15</v>
      </c>
      <c r="H101" s="208">
        <v>70</v>
      </c>
      <c r="I101" s="149">
        <v>70</v>
      </c>
      <c r="J101" s="208">
        <v>69</v>
      </c>
      <c r="K101" s="149">
        <v>56</v>
      </c>
      <c r="L101" s="208">
        <v>22</v>
      </c>
      <c r="M101" s="149">
        <v>18</v>
      </c>
      <c r="N101" s="208">
        <f t="shared" si="22"/>
        <v>1419</v>
      </c>
      <c r="O101" s="130">
        <f t="shared" si="22"/>
        <v>1415</v>
      </c>
      <c r="P101" s="209">
        <f t="shared" si="23"/>
        <v>2834</v>
      </c>
      <c r="Q101" s="210">
        <f t="shared" si="32"/>
        <v>78.72222222222223</v>
      </c>
      <c r="R101" s="149"/>
      <c r="S101" s="149"/>
      <c r="T101" s="149"/>
      <c r="U101" s="149"/>
      <c r="V101" s="149"/>
    </row>
    <row r="102" spans="1:22" ht="21">
      <c r="A102" s="149" t="s">
        <v>465</v>
      </c>
      <c r="B102" s="222">
        <v>3600</v>
      </c>
      <c r="C102" s="208">
        <v>1588</v>
      </c>
      <c r="D102" s="149">
        <v>1024</v>
      </c>
      <c r="E102" s="209">
        <f t="shared" si="24"/>
        <v>2612</v>
      </c>
      <c r="F102" s="208">
        <v>12</v>
      </c>
      <c r="G102" s="149">
        <v>13</v>
      </c>
      <c r="H102" s="208">
        <v>78</v>
      </c>
      <c r="I102" s="149">
        <v>64</v>
      </c>
      <c r="J102" s="208">
        <v>85</v>
      </c>
      <c r="K102" s="149">
        <v>65</v>
      </c>
      <c r="L102" s="208">
        <v>19</v>
      </c>
      <c r="M102" s="149">
        <v>16</v>
      </c>
      <c r="N102" s="208">
        <f t="shared" si="22"/>
        <v>1782</v>
      </c>
      <c r="O102" s="130">
        <f t="shared" si="22"/>
        <v>1182</v>
      </c>
      <c r="P102" s="209">
        <f t="shared" si="23"/>
        <v>2964</v>
      </c>
      <c r="Q102" s="210">
        <f t="shared" si="32"/>
        <v>82.33333333333333</v>
      </c>
      <c r="R102" s="149"/>
      <c r="S102" s="149"/>
      <c r="T102" s="149"/>
      <c r="U102" s="149"/>
      <c r="V102" s="149"/>
    </row>
    <row r="103" spans="1:22" ht="21">
      <c r="A103" s="149" t="s">
        <v>466</v>
      </c>
      <c r="B103" s="222">
        <v>3600</v>
      </c>
      <c r="C103" s="208">
        <v>2368</v>
      </c>
      <c r="D103" s="149">
        <v>1341</v>
      </c>
      <c r="E103" s="209">
        <f t="shared" si="24"/>
        <v>3709</v>
      </c>
      <c r="F103" s="208">
        <v>20</v>
      </c>
      <c r="G103" s="149">
        <v>32</v>
      </c>
      <c r="H103" s="208">
        <v>117</v>
      </c>
      <c r="I103" s="149">
        <v>88</v>
      </c>
      <c r="J103" s="208">
        <v>102</v>
      </c>
      <c r="K103" s="149">
        <v>57</v>
      </c>
      <c r="L103" s="208">
        <v>58</v>
      </c>
      <c r="M103" s="149">
        <v>21</v>
      </c>
      <c r="N103" s="208">
        <f t="shared" si="22"/>
        <v>2665</v>
      </c>
      <c r="O103" s="130">
        <f t="shared" si="22"/>
        <v>1539</v>
      </c>
      <c r="P103" s="209">
        <f t="shared" si="23"/>
        <v>4204</v>
      </c>
      <c r="Q103" s="210">
        <f t="shared" si="32"/>
        <v>116.77777777777777</v>
      </c>
      <c r="R103" s="149"/>
      <c r="S103" s="149"/>
      <c r="T103" s="149"/>
      <c r="U103" s="149"/>
      <c r="V103" s="149"/>
    </row>
    <row r="104" spans="1:22" ht="21">
      <c r="A104" s="149" t="s">
        <v>467</v>
      </c>
      <c r="B104" s="222">
        <v>3600</v>
      </c>
      <c r="C104" s="208">
        <v>998</v>
      </c>
      <c r="D104" s="149">
        <v>1188</v>
      </c>
      <c r="E104" s="209">
        <f t="shared" si="24"/>
        <v>2186</v>
      </c>
      <c r="F104" s="208">
        <v>32</v>
      </c>
      <c r="G104" s="149">
        <v>29</v>
      </c>
      <c r="H104" s="208">
        <v>56</v>
      </c>
      <c r="I104" s="149">
        <v>54</v>
      </c>
      <c r="J104" s="208">
        <v>49</v>
      </c>
      <c r="K104" s="149">
        <v>53</v>
      </c>
      <c r="L104" s="208">
        <v>16</v>
      </c>
      <c r="M104" s="149">
        <v>18</v>
      </c>
      <c r="N104" s="208">
        <f t="shared" si="22"/>
        <v>1151</v>
      </c>
      <c r="O104" s="130">
        <f t="shared" si="22"/>
        <v>1342</v>
      </c>
      <c r="P104" s="209">
        <f t="shared" si="23"/>
        <v>2493</v>
      </c>
      <c r="Q104" s="210">
        <f t="shared" si="32"/>
        <v>69.25</v>
      </c>
      <c r="R104" s="149"/>
      <c r="S104" s="149"/>
      <c r="T104" s="149"/>
      <c r="U104" s="149"/>
      <c r="V104" s="149"/>
    </row>
    <row r="105" spans="1:22" ht="21">
      <c r="A105" s="149" t="s">
        <v>468</v>
      </c>
      <c r="B105" s="222">
        <v>3600</v>
      </c>
      <c r="C105" s="208">
        <v>1057</v>
      </c>
      <c r="D105" s="149">
        <v>1243</v>
      </c>
      <c r="E105" s="209">
        <f t="shared" si="24"/>
        <v>2300</v>
      </c>
      <c r="F105" s="208">
        <v>32</v>
      </c>
      <c r="G105" s="149">
        <v>38</v>
      </c>
      <c r="H105" s="208">
        <v>56</v>
      </c>
      <c r="I105" s="149">
        <v>49</v>
      </c>
      <c r="J105" s="208">
        <v>52</v>
      </c>
      <c r="K105" s="149">
        <v>57</v>
      </c>
      <c r="L105" s="208">
        <v>16</v>
      </c>
      <c r="M105" s="149">
        <v>20</v>
      </c>
      <c r="N105" s="208">
        <f t="shared" si="22"/>
        <v>1213</v>
      </c>
      <c r="O105" s="130">
        <f t="shared" si="22"/>
        <v>1407</v>
      </c>
      <c r="P105" s="209">
        <f t="shared" si="23"/>
        <v>2620</v>
      </c>
      <c r="Q105" s="210">
        <f t="shared" si="32"/>
        <v>72.77777777777777</v>
      </c>
      <c r="R105" s="149"/>
      <c r="S105" s="149"/>
      <c r="T105" s="149"/>
      <c r="U105" s="149"/>
      <c r="V105" s="149"/>
    </row>
    <row r="106" spans="1:22" ht="21">
      <c r="A106" s="149" t="s">
        <v>469</v>
      </c>
      <c r="B106" s="222">
        <v>3600</v>
      </c>
      <c r="C106" s="208">
        <v>857</v>
      </c>
      <c r="D106" s="149">
        <v>1078</v>
      </c>
      <c r="E106" s="209">
        <f t="shared" si="24"/>
        <v>1935</v>
      </c>
      <c r="F106" s="208">
        <v>28</v>
      </c>
      <c r="G106" s="149">
        <v>38</v>
      </c>
      <c r="H106" s="208">
        <v>47</v>
      </c>
      <c r="I106" s="149">
        <v>45</v>
      </c>
      <c r="J106" s="208">
        <v>55</v>
      </c>
      <c r="K106" s="149">
        <v>48</v>
      </c>
      <c r="L106" s="208">
        <v>26</v>
      </c>
      <c r="M106" s="149">
        <v>18</v>
      </c>
      <c r="N106" s="208">
        <f t="shared" si="22"/>
        <v>1013</v>
      </c>
      <c r="O106" s="130">
        <f t="shared" si="22"/>
        <v>1227</v>
      </c>
      <c r="P106" s="209">
        <f t="shared" si="23"/>
        <v>2240</v>
      </c>
      <c r="Q106" s="210">
        <f t="shared" si="32"/>
        <v>62.22222222222222</v>
      </c>
      <c r="R106" s="149"/>
      <c r="S106" s="149"/>
      <c r="T106" s="149"/>
      <c r="U106" s="149"/>
      <c r="V106" s="149"/>
    </row>
    <row r="107" spans="1:22" ht="21">
      <c r="A107" s="149" t="s">
        <v>470</v>
      </c>
      <c r="B107" s="222">
        <v>3600</v>
      </c>
      <c r="C107" s="208">
        <v>1047</v>
      </c>
      <c r="D107" s="149">
        <v>1169</v>
      </c>
      <c r="E107" s="209">
        <f t="shared" si="24"/>
        <v>2216</v>
      </c>
      <c r="F107" s="208">
        <v>21</v>
      </c>
      <c r="G107" s="149">
        <v>38</v>
      </c>
      <c r="H107" s="208">
        <v>49</v>
      </c>
      <c r="I107" s="149">
        <v>43</v>
      </c>
      <c r="J107" s="208">
        <v>45</v>
      </c>
      <c r="K107" s="149">
        <v>54</v>
      </c>
      <c r="L107" s="208">
        <v>35</v>
      </c>
      <c r="M107" s="149">
        <v>16</v>
      </c>
      <c r="N107" s="208">
        <f t="shared" si="22"/>
        <v>1197</v>
      </c>
      <c r="O107" s="130">
        <f t="shared" si="22"/>
        <v>1320</v>
      </c>
      <c r="P107" s="209">
        <f t="shared" si="23"/>
        <v>2517</v>
      </c>
      <c r="Q107" s="210">
        <f t="shared" si="32"/>
        <v>69.91666666666667</v>
      </c>
      <c r="R107" s="149"/>
      <c r="S107" s="149"/>
      <c r="T107" s="149"/>
      <c r="U107" s="149"/>
      <c r="V107" s="149"/>
    </row>
    <row r="108" spans="1:22" ht="21">
      <c r="A108" s="149" t="s">
        <v>471</v>
      </c>
      <c r="B108" s="222">
        <v>3600</v>
      </c>
      <c r="C108" s="208">
        <v>1068</v>
      </c>
      <c r="D108" s="149">
        <v>1171</v>
      </c>
      <c r="E108" s="209">
        <f t="shared" si="24"/>
        <v>2239</v>
      </c>
      <c r="F108" s="208">
        <v>32</v>
      </c>
      <c r="G108" s="149">
        <v>29</v>
      </c>
      <c r="H108" s="208">
        <v>65</v>
      </c>
      <c r="I108" s="149">
        <v>48</v>
      </c>
      <c r="J108" s="208">
        <v>58</v>
      </c>
      <c r="K108" s="149">
        <v>53</v>
      </c>
      <c r="L108" s="208">
        <v>15</v>
      </c>
      <c r="M108" s="149">
        <v>21</v>
      </c>
      <c r="N108" s="208">
        <f t="shared" si="22"/>
        <v>1238</v>
      </c>
      <c r="O108" s="130">
        <f t="shared" si="22"/>
        <v>1322</v>
      </c>
      <c r="P108" s="209">
        <f t="shared" si="23"/>
        <v>2560</v>
      </c>
      <c r="Q108" s="210">
        <f t="shared" si="32"/>
        <v>71.11111111111111</v>
      </c>
      <c r="R108" s="149"/>
      <c r="S108" s="149"/>
      <c r="T108" s="149"/>
      <c r="U108" s="149"/>
      <c r="V108" s="149"/>
    </row>
    <row r="109" spans="1:22" ht="21">
      <c r="A109" s="193" t="s">
        <v>77</v>
      </c>
      <c r="B109" s="215"/>
      <c r="C109" s="208"/>
      <c r="D109" s="163"/>
      <c r="E109" s="209"/>
      <c r="F109" s="208"/>
      <c r="G109" s="163"/>
      <c r="H109" s="208"/>
      <c r="I109" s="163"/>
      <c r="J109" s="208"/>
      <c r="K109" s="163"/>
      <c r="L109" s="208"/>
      <c r="M109" s="163"/>
      <c r="N109" s="208"/>
      <c r="O109" s="149"/>
      <c r="P109" s="209"/>
      <c r="Q109" s="149"/>
      <c r="R109" s="149"/>
      <c r="S109" s="149"/>
      <c r="T109" s="149"/>
      <c r="U109" s="149"/>
      <c r="V109" s="149"/>
    </row>
    <row r="110" spans="1:22" s="165" customFormat="1" ht="21">
      <c r="A110" s="168" t="s">
        <v>78</v>
      </c>
      <c r="B110" s="131">
        <v>357</v>
      </c>
      <c r="C110" s="208"/>
      <c r="D110" s="130"/>
      <c r="E110" s="209"/>
      <c r="F110" s="208"/>
      <c r="G110" s="130"/>
      <c r="H110" s="208"/>
      <c r="I110" s="130"/>
      <c r="J110" s="208"/>
      <c r="K110" s="130"/>
      <c r="L110" s="208"/>
      <c r="M110" s="130"/>
      <c r="N110" s="208"/>
      <c r="O110" s="130"/>
      <c r="P110" s="209"/>
      <c r="Q110" s="130"/>
      <c r="R110" s="130"/>
      <c r="S110" s="130"/>
      <c r="T110" s="130"/>
      <c r="U110" s="130"/>
      <c r="V110" s="130"/>
    </row>
    <row r="111" spans="1:22" s="165" customFormat="1" ht="21">
      <c r="A111" s="168" t="s">
        <v>348</v>
      </c>
      <c r="B111" s="212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169">
        <f>SUM(R112:R113)</f>
        <v>82060</v>
      </c>
      <c r="S111" s="169">
        <f>SUM(S112:S113)</f>
        <v>82031</v>
      </c>
      <c r="T111" s="169">
        <f>SUM(T112:T113)</f>
        <v>0</v>
      </c>
      <c r="U111" s="169">
        <f>(S111+T111)</f>
        <v>82031</v>
      </c>
      <c r="V111" s="211">
        <f>(U111*100)/R111</f>
        <v>99.96466000487449</v>
      </c>
    </row>
    <row r="112" spans="1:22" s="165" customFormat="1" ht="21">
      <c r="A112" s="130" t="s">
        <v>472</v>
      </c>
      <c r="B112" s="131">
        <v>357</v>
      </c>
      <c r="C112" s="208"/>
      <c r="D112" s="130"/>
      <c r="E112" s="209"/>
      <c r="F112" s="208"/>
      <c r="G112" s="130"/>
      <c r="H112" s="208"/>
      <c r="I112" s="130"/>
      <c r="J112" s="208"/>
      <c r="K112" s="130"/>
      <c r="L112" s="208"/>
      <c r="M112" s="130"/>
      <c r="N112" s="208"/>
      <c r="O112" s="130"/>
      <c r="P112" s="209"/>
      <c r="Q112" s="130"/>
      <c r="R112" s="169">
        <v>82060</v>
      </c>
      <c r="S112" s="169">
        <v>82031</v>
      </c>
      <c r="T112" s="169"/>
      <c r="U112" s="169"/>
      <c r="V112" s="211"/>
    </row>
    <row r="113" spans="1:22" s="165" customFormat="1" ht="21">
      <c r="A113" s="130" t="s">
        <v>473</v>
      </c>
      <c r="B113" s="131"/>
      <c r="C113" s="208"/>
      <c r="D113" s="130"/>
      <c r="E113" s="209"/>
      <c r="F113" s="208"/>
      <c r="G113" s="130"/>
      <c r="H113" s="208"/>
      <c r="I113" s="130"/>
      <c r="J113" s="208"/>
      <c r="K113" s="130"/>
      <c r="L113" s="208"/>
      <c r="M113" s="130"/>
      <c r="N113" s="208"/>
      <c r="O113" s="130"/>
      <c r="P113" s="209"/>
      <c r="Q113" s="130"/>
      <c r="R113" s="169"/>
      <c r="S113" s="169"/>
      <c r="T113" s="169"/>
      <c r="U113" s="169"/>
      <c r="V113" s="211"/>
    </row>
    <row r="114" spans="1:22" s="165" customFormat="1" ht="21">
      <c r="A114" s="168" t="s">
        <v>349</v>
      </c>
      <c r="B114" s="223">
        <f aca="true" t="shared" si="33" ref="B114:M114">SUM(B115:B122)</f>
        <v>446</v>
      </c>
      <c r="C114" s="223">
        <f t="shared" si="33"/>
        <v>204</v>
      </c>
      <c r="D114" s="223">
        <f t="shared" si="33"/>
        <v>245</v>
      </c>
      <c r="E114" s="223">
        <f t="shared" si="33"/>
        <v>449</v>
      </c>
      <c r="F114" s="223">
        <f t="shared" si="33"/>
        <v>0</v>
      </c>
      <c r="G114" s="223">
        <f t="shared" si="33"/>
        <v>0</v>
      </c>
      <c r="H114" s="223">
        <f t="shared" si="33"/>
        <v>0</v>
      </c>
      <c r="I114" s="223">
        <f t="shared" si="33"/>
        <v>0</v>
      </c>
      <c r="J114" s="223">
        <f t="shared" si="33"/>
        <v>0</v>
      </c>
      <c r="K114" s="223">
        <f t="shared" si="33"/>
        <v>0</v>
      </c>
      <c r="L114" s="223">
        <f t="shared" si="33"/>
        <v>0</v>
      </c>
      <c r="M114" s="223">
        <f t="shared" si="33"/>
        <v>0</v>
      </c>
      <c r="N114" s="208">
        <f aca="true" t="shared" si="34" ref="N114:O122">(C114+F114+H114+J114+L114)</f>
        <v>204</v>
      </c>
      <c r="O114" s="208">
        <f t="shared" si="34"/>
        <v>245</v>
      </c>
      <c r="P114" s="208">
        <f aca="true" t="shared" si="35" ref="P114:P122">(N114+O114)</f>
        <v>449</v>
      </c>
      <c r="Q114" s="221">
        <f aca="true" t="shared" si="36" ref="Q114:Q122">(P114*100)/B114</f>
        <v>100.67264573991031</v>
      </c>
      <c r="R114" s="169">
        <f>SUM(R115:R122)</f>
        <v>110020</v>
      </c>
      <c r="S114" s="169">
        <f>SUM(S115:S122)</f>
        <v>89810</v>
      </c>
      <c r="T114" s="169">
        <f>SUM(T115:T122)</f>
        <v>0</v>
      </c>
      <c r="U114" s="169">
        <f>(S114+T114)</f>
        <v>89810</v>
      </c>
      <c r="V114" s="211">
        <f>(U114*100)/R114</f>
        <v>81.63061261588803</v>
      </c>
    </row>
    <row r="115" spans="1:22" ht="21">
      <c r="A115" s="145" t="s">
        <v>474</v>
      </c>
      <c r="B115" s="146">
        <v>150</v>
      </c>
      <c r="C115" s="208">
        <v>75</v>
      </c>
      <c r="D115" s="149">
        <v>75</v>
      </c>
      <c r="E115" s="209">
        <f aca="true" t="shared" si="37" ref="E115:E122">(C115+D115)</f>
        <v>150</v>
      </c>
      <c r="F115" s="208"/>
      <c r="G115" s="149"/>
      <c r="H115" s="208"/>
      <c r="I115" s="149"/>
      <c r="J115" s="208"/>
      <c r="K115" s="149"/>
      <c r="L115" s="208"/>
      <c r="M115" s="149"/>
      <c r="N115" s="208">
        <f t="shared" si="34"/>
        <v>75</v>
      </c>
      <c r="O115" s="130">
        <f t="shared" si="34"/>
        <v>75</v>
      </c>
      <c r="P115" s="209">
        <f t="shared" si="35"/>
        <v>150</v>
      </c>
      <c r="Q115" s="210">
        <f t="shared" si="36"/>
        <v>100</v>
      </c>
      <c r="R115" s="213">
        <v>4934</v>
      </c>
      <c r="S115" s="213"/>
      <c r="T115" s="213"/>
      <c r="U115" s="149"/>
      <c r="V115" s="149"/>
    </row>
    <row r="116" spans="1:22" ht="21">
      <c r="A116" s="145" t="s">
        <v>475</v>
      </c>
      <c r="B116" s="146">
        <v>40</v>
      </c>
      <c r="C116" s="208">
        <v>15</v>
      </c>
      <c r="D116" s="149">
        <v>20</v>
      </c>
      <c r="E116" s="209">
        <f t="shared" si="37"/>
        <v>35</v>
      </c>
      <c r="F116" s="208"/>
      <c r="G116" s="149"/>
      <c r="H116" s="208"/>
      <c r="I116" s="149"/>
      <c r="J116" s="208"/>
      <c r="K116" s="149"/>
      <c r="L116" s="208"/>
      <c r="M116" s="149"/>
      <c r="N116" s="208">
        <f t="shared" si="34"/>
        <v>15</v>
      </c>
      <c r="O116" s="130">
        <f t="shared" si="34"/>
        <v>20</v>
      </c>
      <c r="P116" s="209">
        <f t="shared" si="35"/>
        <v>35</v>
      </c>
      <c r="Q116" s="210">
        <f t="shared" si="36"/>
        <v>87.5</v>
      </c>
      <c r="R116" s="213"/>
      <c r="S116" s="149"/>
      <c r="T116" s="149"/>
      <c r="U116" s="149"/>
      <c r="V116" s="149"/>
    </row>
    <row r="117" spans="1:22" ht="21">
      <c r="A117" s="145" t="s">
        <v>476</v>
      </c>
      <c r="B117" s="146">
        <v>40</v>
      </c>
      <c r="C117" s="208">
        <v>16</v>
      </c>
      <c r="D117" s="149">
        <v>31</v>
      </c>
      <c r="E117" s="209">
        <f t="shared" si="37"/>
        <v>47</v>
      </c>
      <c r="F117" s="208"/>
      <c r="G117" s="149"/>
      <c r="H117" s="208"/>
      <c r="I117" s="149"/>
      <c r="J117" s="208"/>
      <c r="K117" s="149"/>
      <c r="L117" s="208"/>
      <c r="M117" s="149"/>
      <c r="N117" s="208">
        <f t="shared" si="34"/>
        <v>16</v>
      </c>
      <c r="O117" s="130">
        <f t="shared" si="34"/>
        <v>31</v>
      </c>
      <c r="P117" s="209">
        <f t="shared" si="35"/>
        <v>47</v>
      </c>
      <c r="Q117" s="210">
        <f t="shared" si="36"/>
        <v>117.5</v>
      </c>
      <c r="R117" s="213">
        <v>12000</v>
      </c>
      <c r="S117" s="213">
        <v>12000</v>
      </c>
      <c r="T117" s="213"/>
      <c r="U117" s="149"/>
      <c r="V117" s="149"/>
    </row>
    <row r="118" spans="1:22" ht="42">
      <c r="A118" s="145" t="s">
        <v>477</v>
      </c>
      <c r="B118" s="146">
        <v>50</v>
      </c>
      <c r="C118" s="208">
        <v>27</v>
      </c>
      <c r="D118" s="149">
        <v>24</v>
      </c>
      <c r="E118" s="209">
        <f t="shared" si="37"/>
        <v>51</v>
      </c>
      <c r="F118" s="208"/>
      <c r="G118" s="149"/>
      <c r="H118" s="208"/>
      <c r="I118" s="149"/>
      <c r="J118" s="208"/>
      <c r="K118" s="149"/>
      <c r="L118" s="208"/>
      <c r="M118" s="149"/>
      <c r="N118" s="208">
        <f t="shared" si="34"/>
        <v>27</v>
      </c>
      <c r="O118" s="130">
        <f t="shared" si="34"/>
        <v>24</v>
      </c>
      <c r="P118" s="209">
        <f t="shared" si="35"/>
        <v>51</v>
      </c>
      <c r="Q118" s="210">
        <f t="shared" si="36"/>
        <v>102</v>
      </c>
      <c r="R118" s="213">
        <v>12000</v>
      </c>
      <c r="S118" s="213">
        <v>12000</v>
      </c>
      <c r="T118" s="213"/>
      <c r="U118" s="149"/>
      <c r="V118" s="149"/>
    </row>
    <row r="119" spans="1:22" ht="21">
      <c r="A119" s="145" t="s">
        <v>478</v>
      </c>
      <c r="B119" s="146">
        <v>50</v>
      </c>
      <c r="C119" s="208">
        <v>19</v>
      </c>
      <c r="D119" s="149">
        <v>31</v>
      </c>
      <c r="E119" s="209">
        <f t="shared" si="37"/>
        <v>50</v>
      </c>
      <c r="F119" s="208"/>
      <c r="G119" s="149"/>
      <c r="H119" s="208"/>
      <c r="I119" s="149"/>
      <c r="J119" s="208"/>
      <c r="K119" s="149"/>
      <c r="L119" s="208"/>
      <c r="M119" s="149"/>
      <c r="N119" s="208">
        <f t="shared" si="34"/>
        <v>19</v>
      </c>
      <c r="O119" s="130">
        <f t="shared" si="34"/>
        <v>31</v>
      </c>
      <c r="P119" s="209">
        <f t="shared" si="35"/>
        <v>50</v>
      </c>
      <c r="Q119" s="210">
        <f t="shared" si="36"/>
        <v>100</v>
      </c>
      <c r="R119" s="213">
        <v>35000</v>
      </c>
      <c r="S119" s="213">
        <v>35000</v>
      </c>
      <c r="T119" s="213"/>
      <c r="U119" s="149"/>
      <c r="V119" s="149"/>
    </row>
    <row r="120" spans="1:22" ht="21">
      <c r="A120" s="145" t="s">
        <v>479</v>
      </c>
      <c r="B120" s="146">
        <v>80</v>
      </c>
      <c r="C120" s="208">
        <v>30</v>
      </c>
      <c r="D120" s="149">
        <v>50</v>
      </c>
      <c r="E120" s="209">
        <f t="shared" si="37"/>
        <v>80</v>
      </c>
      <c r="F120" s="208"/>
      <c r="G120" s="149"/>
      <c r="H120" s="208"/>
      <c r="I120" s="149"/>
      <c r="J120" s="208"/>
      <c r="K120" s="149"/>
      <c r="L120" s="208"/>
      <c r="M120" s="149"/>
      <c r="N120" s="208">
        <f t="shared" si="34"/>
        <v>30</v>
      </c>
      <c r="O120" s="130">
        <f t="shared" si="34"/>
        <v>50</v>
      </c>
      <c r="P120" s="209">
        <f t="shared" si="35"/>
        <v>80</v>
      </c>
      <c r="Q120" s="210">
        <f t="shared" si="36"/>
        <v>100</v>
      </c>
      <c r="R120" s="213">
        <v>2490</v>
      </c>
      <c r="S120" s="213">
        <v>2490</v>
      </c>
      <c r="T120" s="213"/>
      <c r="U120" s="149"/>
      <c r="V120" s="149"/>
    </row>
    <row r="121" spans="1:22" ht="21">
      <c r="A121" s="145" t="s">
        <v>480</v>
      </c>
      <c r="B121" s="146">
        <v>15</v>
      </c>
      <c r="C121" s="208">
        <v>4</v>
      </c>
      <c r="D121" s="149">
        <v>11</v>
      </c>
      <c r="E121" s="209">
        <f t="shared" si="37"/>
        <v>15</v>
      </c>
      <c r="F121" s="208"/>
      <c r="G121" s="149"/>
      <c r="H121" s="208"/>
      <c r="I121" s="149"/>
      <c r="J121" s="208"/>
      <c r="K121" s="149"/>
      <c r="L121" s="208"/>
      <c r="M121" s="149"/>
      <c r="N121" s="208">
        <f t="shared" si="34"/>
        <v>4</v>
      </c>
      <c r="O121" s="130">
        <f t="shared" si="34"/>
        <v>11</v>
      </c>
      <c r="P121" s="209">
        <f t="shared" si="35"/>
        <v>15</v>
      </c>
      <c r="Q121" s="210">
        <f t="shared" si="36"/>
        <v>100</v>
      </c>
      <c r="R121" s="213">
        <v>2000</v>
      </c>
      <c r="S121" s="213">
        <v>2000</v>
      </c>
      <c r="T121" s="213"/>
      <c r="U121" s="149"/>
      <c r="V121" s="149"/>
    </row>
    <row r="122" spans="1:22" ht="21">
      <c r="A122" s="145" t="s">
        <v>481</v>
      </c>
      <c r="B122" s="146">
        <v>21</v>
      </c>
      <c r="C122" s="208">
        <v>18</v>
      </c>
      <c r="D122" s="149">
        <v>3</v>
      </c>
      <c r="E122" s="209">
        <f t="shared" si="37"/>
        <v>21</v>
      </c>
      <c r="F122" s="208"/>
      <c r="G122" s="149"/>
      <c r="H122" s="208"/>
      <c r="I122" s="149"/>
      <c r="J122" s="208"/>
      <c r="K122" s="149"/>
      <c r="L122" s="208"/>
      <c r="M122" s="149"/>
      <c r="N122" s="208">
        <f t="shared" si="34"/>
        <v>18</v>
      </c>
      <c r="O122" s="130">
        <f t="shared" si="34"/>
        <v>3</v>
      </c>
      <c r="P122" s="209">
        <f t="shared" si="35"/>
        <v>21</v>
      </c>
      <c r="Q122" s="210">
        <f t="shared" si="36"/>
        <v>100</v>
      </c>
      <c r="R122" s="213">
        <v>41596</v>
      </c>
      <c r="S122" s="213">
        <v>26320</v>
      </c>
      <c r="T122" s="213"/>
      <c r="U122" s="149"/>
      <c r="V122" s="149"/>
    </row>
    <row r="123" spans="1:22" s="165" customFormat="1" ht="21">
      <c r="A123" s="168" t="s">
        <v>353</v>
      </c>
      <c r="B123" s="212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130"/>
      <c r="S123" s="130"/>
      <c r="T123" s="130"/>
      <c r="U123" s="130"/>
      <c r="V123" s="130"/>
    </row>
    <row r="124" spans="1:22" s="165" customFormat="1" ht="21">
      <c r="A124" s="168" t="s">
        <v>482</v>
      </c>
      <c r="B124" s="223">
        <f>SUM(B125:B127)</f>
        <v>357</v>
      </c>
      <c r="C124" s="223">
        <f aca="true" t="shared" si="38" ref="C124:M124">SUM(C125:C127)</f>
        <v>205</v>
      </c>
      <c r="D124" s="223">
        <f t="shared" si="38"/>
        <v>152</v>
      </c>
      <c r="E124" s="223">
        <f t="shared" si="38"/>
        <v>357</v>
      </c>
      <c r="F124" s="223">
        <f t="shared" si="38"/>
        <v>0</v>
      </c>
      <c r="G124" s="223">
        <f t="shared" si="38"/>
        <v>0</v>
      </c>
      <c r="H124" s="223">
        <f t="shared" si="38"/>
        <v>0</v>
      </c>
      <c r="I124" s="223">
        <f t="shared" si="38"/>
        <v>0</v>
      </c>
      <c r="J124" s="223">
        <f t="shared" si="38"/>
        <v>0</v>
      </c>
      <c r="K124" s="223">
        <f t="shared" si="38"/>
        <v>0</v>
      </c>
      <c r="L124" s="223">
        <f t="shared" si="38"/>
        <v>0</v>
      </c>
      <c r="M124" s="223">
        <f t="shared" si="38"/>
        <v>0</v>
      </c>
      <c r="N124" s="208">
        <f aca="true" t="shared" si="39" ref="N124:O131">(C124+F124+H124+J124+L124)</f>
        <v>205</v>
      </c>
      <c r="O124" s="130">
        <f t="shared" si="39"/>
        <v>152</v>
      </c>
      <c r="P124" s="209">
        <f aca="true" t="shared" si="40" ref="P124:P131">(N124+O124)</f>
        <v>357</v>
      </c>
      <c r="Q124" s="210">
        <f aca="true" t="shared" si="41" ref="Q124:Q131">(P124*100)/B124</f>
        <v>100</v>
      </c>
      <c r="R124" s="130"/>
      <c r="S124" s="130"/>
      <c r="T124" s="130"/>
      <c r="U124" s="130"/>
      <c r="V124" s="130"/>
    </row>
    <row r="125" spans="1:22" s="165" customFormat="1" ht="21">
      <c r="A125" s="130" t="s">
        <v>86</v>
      </c>
      <c r="B125" s="131">
        <v>49</v>
      </c>
      <c r="C125" s="208">
        <v>28</v>
      </c>
      <c r="D125" s="130">
        <v>21</v>
      </c>
      <c r="E125" s="209">
        <f>(C125+D125)</f>
        <v>49</v>
      </c>
      <c r="F125" s="208"/>
      <c r="G125" s="130"/>
      <c r="H125" s="208"/>
      <c r="I125" s="130"/>
      <c r="J125" s="208"/>
      <c r="K125" s="130"/>
      <c r="L125" s="208"/>
      <c r="M125" s="130"/>
      <c r="N125" s="208">
        <f t="shared" si="39"/>
        <v>28</v>
      </c>
      <c r="O125" s="130">
        <f t="shared" si="39"/>
        <v>21</v>
      </c>
      <c r="P125" s="209">
        <f t="shared" si="40"/>
        <v>49</v>
      </c>
      <c r="Q125" s="210">
        <f t="shared" si="41"/>
        <v>100</v>
      </c>
      <c r="R125" s="130"/>
      <c r="S125" s="130"/>
      <c r="T125" s="130"/>
      <c r="U125" s="130"/>
      <c r="V125" s="130"/>
    </row>
    <row r="126" spans="1:22" s="165" customFormat="1" ht="21">
      <c r="A126" s="130" t="s">
        <v>87</v>
      </c>
      <c r="B126" s="131">
        <v>162</v>
      </c>
      <c r="C126" s="208">
        <v>102</v>
      </c>
      <c r="D126" s="130">
        <v>60</v>
      </c>
      <c r="E126" s="209">
        <f>(C126+D126)</f>
        <v>162</v>
      </c>
      <c r="F126" s="208"/>
      <c r="G126" s="130"/>
      <c r="H126" s="208"/>
      <c r="I126" s="130"/>
      <c r="J126" s="208"/>
      <c r="K126" s="130"/>
      <c r="L126" s="208"/>
      <c r="M126" s="130"/>
      <c r="N126" s="208">
        <f t="shared" si="39"/>
        <v>102</v>
      </c>
      <c r="O126" s="130">
        <f t="shared" si="39"/>
        <v>60</v>
      </c>
      <c r="P126" s="209">
        <f t="shared" si="40"/>
        <v>162</v>
      </c>
      <c r="Q126" s="210">
        <f t="shared" si="41"/>
        <v>100</v>
      </c>
      <c r="R126" s="130"/>
      <c r="S126" s="130"/>
      <c r="T126" s="130"/>
      <c r="U126" s="130"/>
      <c r="V126" s="130"/>
    </row>
    <row r="127" spans="1:22" s="165" customFormat="1" ht="21">
      <c r="A127" s="130" t="s">
        <v>88</v>
      </c>
      <c r="B127" s="131">
        <v>146</v>
      </c>
      <c r="C127" s="208">
        <v>75</v>
      </c>
      <c r="D127" s="130">
        <v>71</v>
      </c>
      <c r="E127" s="209">
        <f>(C127+D127)</f>
        <v>146</v>
      </c>
      <c r="F127" s="208"/>
      <c r="G127" s="130"/>
      <c r="H127" s="208"/>
      <c r="I127" s="130"/>
      <c r="J127" s="208"/>
      <c r="K127" s="130"/>
      <c r="L127" s="208"/>
      <c r="M127" s="130"/>
      <c r="N127" s="208">
        <f t="shared" si="39"/>
        <v>75</v>
      </c>
      <c r="O127" s="130">
        <f t="shared" si="39"/>
        <v>71</v>
      </c>
      <c r="P127" s="209">
        <f t="shared" si="40"/>
        <v>146</v>
      </c>
      <c r="Q127" s="210">
        <f t="shared" si="41"/>
        <v>100</v>
      </c>
      <c r="R127" s="130"/>
      <c r="S127" s="130"/>
      <c r="T127" s="130"/>
      <c r="U127" s="130"/>
      <c r="V127" s="130"/>
    </row>
    <row r="128" spans="1:22" s="165" customFormat="1" ht="21">
      <c r="A128" s="168" t="s">
        <v>483</v>
      </c>
      <c r="B128" s="223">
        <f>SUM(B129:B131)</f>
        <v>0</v>
      </c>
      <c r="C128" s="223">
        <f aca="true" t="shared" si="42" ref="C128:M128">SUM(C129:C131)</f>
        <v>0</v>
      </c>
      <c r="D128" s="223">
        <f t="shared" si="42"/>
        <v>0</v>
      </c>
      <c r="E128" s="223">
        <f t="shared" si="42"/>
        <v>0</v>
      </c>
      <c r="F128" s="223">
        <f t="shared" si="42"/>
        <v>0</v>
      </c>
      <c r="G128" s="223">
        <f t="shared" si="42"/>
        <v>0</v>
      </c>
      <c r="H128" s="223">
        <f t="shared" si="42"/>
        <v>0</v>
      </c>
      <c r="I128" s="223">
        <f t="shared" si="42"/>
        <v>0</v>
      </c>
      <c r="J128" s="223">
        <f t="shared" si="42"/>
        <v>0</v>
      </c>
      <c r="K128" s="223">
        <f t="shared" si="42"/>
        <v>0</v>
      </c>
      <c r="L128" s="223">
        <f t="shared" si="42"/>
        <v>0</v>
      </c>
      <c r="M128" s="223">
        <f t="shared" si="42"/>
        <v>0</v>
      </c>
      <c r="N128" s="208">
        <f t="shared" si="39"/>
        <v>0</v>
      </c>
      <c r="O128" s="130">
        <f t="shared" si="39"/>
        <v>0</v>
      </c>
      <c r="P128" s="209">
        <f t="shared" si="40"/>
        <v>0</v>
      </c>
      <c r="Q128" s="210" t="e">
        <f t="shared" si="41"/>
        <v>#DIV/0!</v>
      </c>
      <c r="R128" s="130"/>
      <c r="S128" s="130"/>
      <c r="T128" s="130"/>
      <c r="U128" s="130"/>
      <c r="V128" s="130"/>
    </row>
    <row r="129" spans="1:22" s="165" customFormat="1" ht="21">
      <c r="A129" s="130" t="s">
        <v>86</v>
      </c>
      <c r="B129" s="131"/>
      <c r="C129" s="208"/>
      <c r="D129" s="130"/>
      <c r="E129" s="209"/>
      <c r="F129" s="208"/>
      <c r="G129" s="130"/>
      <c r="H129" s="208"/>
      <c r="I129" s="130"/>
      <c r="J129" s="208"/>
      <c r="K129" s="130"/>
      <c r="L129" s="208"/>
      <c r="M129" s="130"/>
      <c r="N129" s="208">
        <f t="shared" si="39"/>
        <v>0</v>
      </c>
      <c r="O129" s="130">
        <f t="shared" si="39"/>
        <v>0</v>
      </c>
      <c r="P129" s="209">
        <f t="shared" si="40"/>
        <v>0</v>
      </c>
      <c r="Q129" s="210" t="e">
        <f t="shared" si="41"/>
        <v>#DIV/0!</v>
      </c>
      <c r="R129" s="130"/>
      <c r="S129" s="130"/>
      <c r="T129" s="130"/>
      <c r="U129" s="130"/>
      <c r="V129" s="130"/>
    </row>
    <row r="130" spans="1:22" s="165" customFormat="1" ht="21">
      <c r="A130" s="130" t="s">
        <v>87</v>
      </c>
      <c r="B130" s="131"/>
      <c r="C130" s="208"/>
      <c r="D130" s="130"/>
      <c r="E130" s="209"/>
      <c r="F130" s="208"/>
      <c r="G130" s="130"/>
      <c r="H130" s="208"/>
      <c r="I130" s="130"/>
      <c r="J130" s="208"/>
      <c r="K130" s="130"/>
      <c r="L130" s="208"/>
      <c r="M130" s="130"/>
      <c r="N130" s="208">
        <f t="shared" si="39"/>
        <v>0</v>
      </c>
      <c r="O130" s="130">
        <f t="shared" si="39"/>
        <v>0</v>
      </c>
      <c r="P130" s="209">
        <f t="shared" si="40"/>
        <v>0</v>
      </c>
      <c r="Q130" s="210" t="e">
        <f t="shared" si="41"/>
        <v>#DIV/0!</v>
      </c>
      <c r="R130" s="130"/>
      <c r="S130" s="130"/>
      <c r="T130" s="130"/>
      <c r="U130" s="130"/>
      <c r="V130" s="130"/>
    </row>
    <row r="131" spans="1:22" s="165" customFormat="1" ht="21">
      <c r="A131" s="130" t="s">
        <v>88</v>
      </c>
      <c r="B131" s="131"/>
      <c r="C131" s="208"/>
      <c r="D131" s="130"/>
      <c r="E131" s="209"/>
      <c r="F131" s="208"/>
      <c r="G131" s="130"/>
      <c r="H131" s="208"/>
      <c r="I131" s="130"/>
      <c r="J131" s="208"/>
      <c r="K131" s="130"/>
      <c r="L131" s="208"/>
      <c r="M131" s="130"/>
      <c r="N131" s="208">
        <f t="shared" si="39"/>
        <v>0</v>
      </c>
      <c r="O131" s="130">
        <f t="shared" si="39"/>
        <v>0</v>
      </c>
      <c r="P131" s="209">
        <f t="shared" si="40"/>
        <v>0</v>
      </c>
      <c r="Q131" s="210" t="e">
        <f t="shared" si="41"/>
        <v>#DIV/0!</v>
      </c>
      <c r="R131" s="130"/>
      <c r="S131" s="130"/>
      <c r="T131" s="130"/>
      <c r="U131" s="130"/>
      <c r="V131" s="130"/>
    </row>
    <row r="132" spans="1:22" s="165" customFormat="1" ht="21">
      <c r="A132" s="168" t="s">
        <v>354</v>
      </c>
      <c r="B132" s="212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130"/>
      <c r="S132" s="130"/>
      <c r="T132" s="130"/>
      <c r="U132" s="130"/>
      <c r="V132" s="130"/>
    </row>
    <row r="133" spans="1:22" s="165" customFormat="1" ht="21">
      <c r="A133" s="130" t="s">
        <v>86</v>
      </c>
      <c r="B133" s="131"/>
      <c r="C133" s="208"/>
      <c r="D133" s="130"/>
      <c r="E133" s="209"/>
      <c r="F133" s="208"/>
      <c r="G133" s="130"/>
      <c r="H133" s="208"/>
      <c r="I133" s="130"/>
      <c r="J133" s="208"/>
      <c r="K133" s="130"/>
      <c r="L133" s="208"/>
      <c r="M133" s="130"/>
      <c r="N133" s="208"/>
      <c r="O133" s="130"/>
      <c r="P133" s="209"/>
      <c r="Q133" s="130"/>
      <c r="R133" s="130"/>
      <c r="S133" s="130"/>
      <c r="T133" s="130"/>
      <c r="U133" s="130"/>
      <c r="V133" s="130"/>
    </row>
    <row r="134" spans="1:22" s="165" customFormat="1" ht="21">
      <c r="A134" s="130" t="s">
        <v>87</v>
      </c>
      <c r="B134" s="131"/>
      <c r="C134" s="208"/>
      <c r="D134" s="130"/>
      <c r="E134" s="209"/>
      <c r="F134" s="208"/>
      <c r="G134" s="130"/>
      <c r="H134" s="208"/>
      <c r="I134" s="130"/>
      <c r="J134" s="208"/>
      <c r="K134" s="130"/>
      <c r="L134" s="208"/>
      <c r="M134" s="130"/>
      <c r="N134" s="208"/>
      <c r="O134" s="130"/>
      <c r="P134" s="209"/>
      <c r="Q134" s="130"/>
      <c r="R134" s="130"/>
      <c r="S134" s="130"/>
      <c r="T134" s="130"/>
      <c r="U134" s="130"/>
      <c r="V134" s="130"/>
    </row>
    <row r="135" spans="1:22" s="165" customFormat="1" ht="21">
      <c r="A135" s="130" t="s">
        <v>88</v>
      </c>
      <c r="B135" s="131"/>
      <c r="C135" s="208"/>
      <c r="D135" s="130"/>
      <c r="E135" s="209"/>
      <c r="F135" s="208"/>
      <c r="G135" s="130"/>
      <c r="H135" s="208"/>
      <c r="I135" s="130"/>
      <c r="J135" s="208"/>
      <c r="K135" s="130"/>
      <c r="L135" s="208"/>
      <c r="M135" s="130"/>
      <c r="N135" s="208"/>
      <c r="O135" s="130"/>
      <c r="P135" s="209"/>
      <c r="Q135" s="130"/>
      <c r="R135" s="130"/>
      <c r="S135" s="130"/>
      <c r="T135" s="130"/>
      <c r="U135" s="130"/>
      <c r="V135" s="130"/>
    </row>
  </sheetData>
  <sheetProtection/>
  <mergeCells count="19">
    <mergeCell ref="A1:V1"/>
    <mergeCell ref="A2:V2"/>
    <mergeCell ref="A3:V3"/>
    <mergeCell ref="A4:A6"/>
    <mergeCell ref="B4:B6"/>
    <mergeCell ref="C4:E5"/>
    <mergeCell ref="F4:M4"/>
    <mergeCell ref="N4:P5"/>
    <mergeCell ref="Q4:Q6"/>
    <mergeCell ref="R4:R6"/>
    <mergeCell ref="B7:V7"/>
    <mergeCell ref="S4:S6"/>
    <mergeCell ref="T4:T6"/>
    <mergeCell ref="U4:U6"/>
    <mergeCell ref="V4:V6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3"/>
  <sheetViews>
    <sheetView zoomScalePageLayoutView="0" workbookViewId="0" topLeftCell="A1">
      <selection activeCell="D6" sqref="D6"/>
    </sheetView>
  </sheetViews>
  <sheetFormatPr defaultColWidth="6.8515625" defaultRowHeight="15"/>
  <cols>
    <col min="1" max="1" width="40.140625" style="122" customWidth="1"/>
    <col min="2" max="2" width="10.421875" style="204" customWidth="1"/>
    <col min="3" max="3" width="8.57421875" style="122" customWidth="1"/>
    <col min="4" max="4" width="10.7109375" style="122" customWidth="1"/>
    <col min="5" max="5" width="12.140625" style="122" customWidth="1"/>
    <col min="6" max="8" width="6.8515625" style="122" customWidth="1"/>
    <col min="9" max="9" width="7.7109375" style="122" customWidth="1"/>
    <col min="10" max="10" width="7.28125" style="122" customWidth="1"/>
    <col min="11" max="11" width="7.140625" style="122" customWidth="1"/>
    <col min="12" max="12" width="6.8515625" style="122" customWidth="1"/>
    <col min="13" max="13" width="7.57421875" style="122" customWidth="1"/>
    <col min="14" max="14" width="8.421875" style="122" customWidth="1"/>
    <col min="15" max="15" width="9.28125" style="122" customWidth="1"/>
    <col min="16" max="16" width="9.8515625" style="122" customWidth="1"/>
    <col min="17" max="17" width="10.421875" style="122" customWidth="1"/>
    <col min="18" max="18" width="11.421875" style="287" customWidth="1"/>
    <col min="19" max="19" width="13.8515625" style="225" customWidth="1"/>
    <col min="20" max="20" width="12.421875" style="288" customWidth="1"/>
    <col min="21" max="21" width="13.8515625" style="288" customWidth="1"/>
    <col min="22" max="22" width="10.421875" style="122" customWidth="1"/>
    <col min="23" max="23" width="6.8515625" style="122" customWidth="1"/>
    <col min="24" max="24" width="8.140625" style="122" customWidth="1"/>
    <col min="25" max="25" width="9.00390625" style="224" customWidth="1"/>
    <col min="26" max="26" width="6.8515625" style="122" customWidth="1"/>
    <col min="27" max="27" width="14.7109375" style="225" customWidth="1"/>
    <col min="28" max="28" width="13.57421875" style="225" customWidth="1"/>
    <col min="29" max="29" width="13.140625" style="122" customWidth="1"/>
    <col min="30" max="30" width="11.28125" style="122" customWidth="1"/>
    <col min="31" max="16384" width="6.8515625" style="122" customWidth="1"/>
  </cols>
  <sheetData>
    <row r="1" spans="1:22" ht="23.2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2" ht="23.25">
      <c r="A2" s="371" t="s">
        <v>484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</row>
    <row r="3" spans="1:21" ht="23.25">
      <c r="A3" s="372" t="s">
        <v>485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</row>
    <row r="4" spans="1:28" s="204" customFormat="1" ht="132.75" customHeight="1">
      <c r="A4" s="373" t="s">
        <v>3</v>
      </c>
      <c r="B4" s="367" t="s">
        <v>4</v>
      </c>
      <c r="C4" s="375" t="s">
        <v>5</v>
      </c>
      <c r="D4" s="376"/>
      <c r="E4" s="367" t="s">
        <v>357</v>
      </c>
      <c r="F4" s="375" t="s">
        <v>486</v>
      </c>
      <c r="G4" s="379"/>
      <c r="H4" s="379"/>
      <c r="I4" s="379"/>
      <c r="J4" s="379"/>
      <c r="K4" s="379"/>
      <c r="L4" s="379"/>
      <c r="M4" s="376"/>
      <c r="N4" s="375" t="s">
        <v>7</v>
      </c>
      <c r="O4" s="376"/>
      <c r="P4" s="367" t="s">
        <v>487</v>
      </c>
      <c r="Q4" s="367" t="s">
        <v>8</v>
      </c>
      <c r="R4" s="387" t="s">
        <v>9</v>
      </c>
      <c r="S4" s="390" t="s">
        <v>10</v>
      </c>
      <c r="T4" s="387" t="s">
        <v>11</v>
      </c>
      <c r="U4" s="387" t="s">
        <v>12</v>
      </c>
      <c r="V4" s="367" t="s">
        <v>13</v>
      </c>
      <c r="W4" s="203"/>
      <c r="X4" s="203"/>
      <c r="Y4" s="226"/>
      <c r="AA4" s="227"/>
      <c r="AB4" s="227"/>
    </row>
    <row r="5" spans="1:28" s="204" customFormat="1" ht="28.5" customHeight="1">
      <c r="A5" s="374"/>
      <c r="B5" s="368"/>
      <c r="C5" s="377"/>
      <c r="D5" s="378"/>
      <c r="E5" s="369"/>
      <c r="F5" s="370" t="s">
        <v>14</v>
      </c>
      <c r="G5" s="370"/>
      <c r="H5" s="370" t="s">
        <v>15</v>
      </c>
      <c r="I5" s="370"/>
      <c r="J5" s="370" t="s">
        <v>16</v>
      </c>
      <c r="K5" s="370"/>
      <c r="L5" s="370" t="s">
        <v>17</v>
      </c>
      <c r="M5" s="370"/>
      <c r="N5" s="377"/>
      <c r="O5" s="378"/>
      <c r="P5" s="369"/>
      <c r="Q5" s="368"/>
      <c r="R5" s="388"/>
      <c r="S5" s="391"/>
      <c r="T5" s="388"/>
      <c r="U5" s="388"/>
      <c r="V5" s="368"/>
      <c r="W5" s="203"/>
      <c r="X5" s="203"/>
      <c r="Y5" s="226"/>
      <c r="AA5" s="227"/>
      <c r="AB5" s="227"/>
    </row>
    <row r="6" spans="1:30" s="204" customFormat="1" ht="24" customHeight="1">
      <c r="A6" s="374"/>
      <c r="B6" s="369"/>
      <c r="C6" s="123" t="s">
        <v>18</v>
      </c>
      <c r="D6" s="123" t="s">
        <v>19</v>
      </c>
      <c r="E6" s="124" t="s">
        <v>20</v>
      </c>
      <c r="F6" s="123" t="s">
        <v>18</v>
      </c>
      <c r="G6" s="123" t="s">
        <v>19</v>
      </c>
      <c r="H6" s="123" t="s">
        <v>18</v>
      </c>
      <c r="I6" s="123" t="s">
        <v>19</v>
      </c>
      <c r="J6" s="123" t="s">
        <v>18</v>
      </c>
      <c r="K6" s="123" t="s">
        <v>19</v>
      </c>
      <c r="L6" s="123" t="s">
        <v>18</v>
      </c>
      <c r="M6" s="123" t="s">
        <v>19</v>
      </c>
      <c r="N6" s="123" t="s">
        <v>18</v>
      </c>
      <c r="O6" s="123" t="s">
        <v>19</v>
      </c>
      <c r="P6" s="124" t="s">
        <v>20</v>
      </c>
      <c r="Q6" s="369"/>
      <c r="R6" s="389"/>
      <c r="S6" s="392"/>
      <c r="T6" s="389"/>
      <c r="U6" s="389"/>
      <c r="V6" s="369"/>
      <c r="Y6" s="226"/>
      <c r="AA6" s="227"/>
      <c r="AB6" s="227" t="s">
        <v>488</v>
      </c>
      <c r="AD6" s="204" t="s">
        <v>488</v>
      </c>
    </row>
    <row r="7" spans="1:28" s="204" customFormat="1" ht="49.5" customHeight="1">
      <c r="A7" s="228" t="s">
        <v>489</v>
      </c>
      <c r="B7" s="384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6"/>
      <c r="Y7" s="226"/>
      <c r="AA7" s="227"/>
      <c r="AB7" s="227"/>
    </row>
    <row r="8" spans="1:28" s="207" customFormat="1" ht="26.25" customHeight="1">
      <c r="A8" s="126" t="s">
        <v>490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229"/>
      <c r="S8" s="230"/>
      <c r="T8" s="229"/>
      <c r="U8" s="229"/>
      <c r="V8" s="128"/>
      <c r="Y8" s="231"/>
      <c r="AA8" s="232"/>
      <c r="AB8" s="232"/>
    </row>
    <row r="9" spans="1:28" s="165" customFormat="1" ht="21">
      <c r="A9" s="129" t="s">
        <v>24</v>
      </c>
      <c r="B9" s="168">
        <v>200</v>
      </c>
      <c r="C9" s="130"/>
      <c r="D9" s="130"/>
      <c r="E9" s="130"/>
      <c r="F9" s="233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0</v>
      </c>
      <c r="N9" s="233">
        <f>C9+F9+H9+J9+L9</f>
        <v>0</v>
      </c>
      <c r="O9" s="233">
        <f>D9+G9+I9+K9+M9</f>
        <v>0</v>
      </c>
      <c r="P9" s="233">
        <f>N9+O9</f>
        <v>0</v>
      </c>
      <c r="Q9" s="130"/>
      <c r="R9" s="19">
        <f>41250+41250</f>
        <v>82500</v>
      </c>
      <c r="S9" s="135">
        <v>41250</v>
      </c>
      <c r="T9" s="32">
        <v>0</v>
      </c>
      <c r="U9" s="32">
        <f>S9+T9</f>
        <v>41250</v>
      </c>
      <c r="V9" s="234">
        <f>U9*100/R9</f>
        <v>50</v>
      </c>
      <c r="W9" s="235">
        <f>F9+H9+J9+L9</f>
        <v>0</v>
      </c>
      <c r="X9" s="235">
        <f>G9+I9+K9+M9</f>
        <v>0</v>
      </c>
      <c r="Y9" s="236">
        <f>W9+X9</f>
        <v>0</v>
      </c>
      <c r="AA9" s="134"/>
      <c r="AB9" s="134"/>
    </row>
    <row r="10" spans="1:28" s="165" customFormat="1" ht="21">
      <c r="A10" s="21" t="s">
        <v>99</v>
      </c>
      <c r="B10" s="168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9"/>
      <c r="S10" s="135"/>
      <c r="T10" s="32"/>
      <c r="U10" s="32"/>
      <c r="V10" s="130"/>
      <c r="W10" s="235">
        <f aca="true" t="shared" si="0" ref="W10:X18">F10+H10+J10+L10</f>
        <v>0</v>
      </c>
      <c r="X10" s="235">
        <f t="shared" si="0"/>
        <v>0</v>
      </c>
      <c r="Y10" s="236">
        <f aca="true" t="shared" si="1" ref="Y10:Y18">W10+X10</f>
        <v>0</v>
      </c>
      <c r="AA10" s="134"/>
      <c r="AB10" s="134"/>
    </row>
    <row r="11" spans="1:28" s="165" customFormat="1" ht="42">
      <c r="A11" s="136" t="s">
        <v>491</v>
      </c>
      <c r="B11" s="168">
        <v>876</v>
      </c>
      <c r="C11" s="130">
        <f>178+32+4+11</f>
        <v>225</v>
      </c>
      <c r="D11" s="130">
        <f>413+129+22+9</f>
        <v>573</v>
      </c>
      <c r="E11" s="130">
        <f aca="true" t="shared" si="2" ref="E11:E18">C11+D11</f>
        <v>798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3">
        <v>0</v>
      </c>
      <c r="N11" s="233">
        <f aca="true" t="shared" si="3" ref="N11:O13">C11+F11+H11+J11+L11</f>
        <v>225</v>
      </c>
      <c r="O11" s="233">
        <f t="shared" si="3"/>
        <v>573</v>
      </c>
      <c r="P11" s="233">
        <f aca="true" t="shared" si="4" ref="P11:P16">N11+O11</f>
        <v>798</v>
      </c>
      <c r="Q11" s="211">
        <f>P11*100/B11</f>
        <v>91.0958904109589</v>
      </c>
      <c r="R11" s="19">
        <f>438750+459000</f>
        <v>897750</v>
      </c>
      <c r="S11" s="135">
        <f>234110+152518+51800</f>
        <v>438428</v>
      </c>
      <c r="T11" s="237">
        <v>0</v>
      </c>
      <c r="U11" s="237">
        <f>S11+T11</f>
        <v>438428</v>
      </c>
      <c r="V11" s="234">
        <f>U11*100/R11</f>
        <v>48.83631300473406</v>
      </c>
      <c r="W11" s="235">
        <f>F11+H11+J11+L11</f>
        <v>0</v>
      </c>
      <c r="X11" s="235">
        <f t="shared" si="0"/>
        <v>0</v>
      </c>
      <c r="Y11" s="236">
        <f t="shared" si="1"/>
        <v>0</v>
      </c>
      <c r="AA11" s="134"/>
      <c r="AB11" s="134"/>
    </row>
    <row r="12" spans="1:28" s="165" customFormat="1" ht="42">
      <c r="A12" s="136" t="s">
        <v>492</v>
      </c>
      <c r="B12" s="168">
        <v>100</v>
      </c>
      <c r="C12" s="130">
        <f>7+2</f>
        <v>9</v>
      </c>
      <c r="D12" s="130">
        <f>17+18</f>
        <v>35</v>
      </c>
      <c r="E12" s="130">
        <f t="shared" si="2"/>
        <v>44</v>
      </c>
      <c r="F12" s="233">
        <v>0</v>
      </c>
      <c r="G12" s="233">
        <v>0</v>
      </c>
      <c r="H12" s="233">
        <v>0</v>
      </c>
      <c r="I12" s="233">
        <v>0</v>
      </c>
      <c r="J12" s="233">
        <v>0</v>
      </c>
      <c r="K12" s="233">
        <v>0</v>
      </c>
      <c r="L12" s="233">
        <v>0</v>
      </c>
      <c r="M12" s="233">
        <v>0</v>
      </c>
      <c r="N12" s="233">
        <f t="shared" si="3"/>
        <v>9</v>
      </c>
      <c r="O12" s="233">
        <f>D12+G12+I12+K12+M12</f>
        <v>35</v>
      </c>
      <c r="P12" s="233">
        <f t="shared" si="4"/>
        <v>44</v>
      </c>
      <c r="Q12" s="211">
        <f>P12*100/B12</f>
        <v>44</v>
      </c>
      <c r="R12" s="19">
        <v>0</v>
      </c>
      <c r="S12" s="135">
        <v>0</v>
      </c>
      <c r="T12" s="237">
        <v>0</v>
      </c>
      <c r="U12" s="237">
        <f>S12+T12</f>
        <v>0</v>
      </c>
      <c r="V12" s="234" t="e">
        <f>U12*100/R12</f>
        <v>#DIV/0!</v>
      </c>
      <c r="W12" s="235">
        <f t="shared" si="0"/>
        <v>0</v>
      </c>
      <c r="X12" s="235">
        <f t="shared" si="0"/>
        <v>0</v>
      </c>
      <c r="Y12" s="236">
        <f t="shared" si="1"/>
        <v>0</v>
      </c>
      <c r="AA12" s="134"/>
      <c r="AB12" s="134"/>
    </row>
    <row r="13" spans="1:28" s="165" customFormat="1" ht="21">
      <c r="A13" s="129" t="s">
        <v>38</v>
      </c>
      <c r="B13" s="168" t="s">
        <v>493</v>
      </c>
      <c r="C13" s="130"/>
      <c r="D13" s="130"/>
      <c r="E13" s="130">
        <f t="shared" si="2"/>
        <v>0</v>
      </c>
      <c r="F13" s="130"/>
      <c r="G13" s="130"/>
      <c r="H13" s="130" t="s">
        <v>112</v>
      </c>
      <c r="I13" s="130"/>
      <c r="J13" s="130"/>
      <c r="K13" s="130"/>
      <c r="L13" s="130"/>
      <c r="M13" s="130"/>
      <c r="N13" s="233" t="s">
        <v>112</v>
      </c>
      <c r="O13" s="233">
        <f t="shared" si="3"/>
        <v>0</v>
      </c>
      <c r="P13" s="130" t="s">
        <v>112</v>
      </c>
      <c r="Q13" s="211" t="s">
        <v>112</v>
      </c>
      <c r="R13" s="19">
        <f>30130+30188+58</f>
        <v>60376</v>
      </c>
      <c r="S13" s="135">
        <f>10400+19684.31</f>
        <v>30084.31</v>
      </c>
      <c r="T13" s="237">
        <v>0</v>
      </c>
      <c r="U13" s="237">
        <f>S13+T13</f>
        <v>30084.31</v>
      </c>
      <c r="V13" s="234">
        <f>U13*100/R13</f>
        <v>49.828259573340404</v>
      </c>
      <c r="W13" s="235" t="e">
        <f t="shared" si="0"/>
        <v>#VALUE!</v>
      </c>
      <c r="X13" s="235">
        <f t="shared" si="0"/>
        <v>0</v>
      </c>
      <c r="Y13" s="236" t="e">
        <f t="shared" si="1"/>
        <v>#VALUE!</v>
      </c>
      <c r="AA13" s="134"/>
      <c r="AB13" s="134"/>
    </row>
    <row r="14" spans="1:28" s="165" customFormat="1" ht="21">
      <c r="A14" s="136" t="s">
        <v>494</v>
      </c>
      <c r="B14" s="168">
        <v>560</v>
      </c>
      <c r="C14" s="130">
        <f>94+100+42+30</f>
        <v>266</v>
      </c>
      <c r="D14" s="130">
        <f>101+76+41+4</f>
        <v>222</v>
      </c>
      <c r="E14" s="130">
        <f>C14+D14</f>
        <v>488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f>C14+F14+H14+J14+L14</f>
        <v>266</v>
      </c>
      <c r="O14" s="233">
        <f>D14+G14+I14+K14+M14</f>
        <v>222</v>
      </c>
      <c r="P14" s="233">
        <f>N14+O14</f>
        <v>488</v>
      </c>
      <c r="Q14" s="211">
        <f>P14*100/B14</f>
        <v>87.14285714285714</v>
      </c>
      <c r="R14" s="19"/>
      <c r="S14" s="135"/>
      <c r="T14" s="32"/>
      <c r="U14" s="32" t="s">
        <v>112</v>
      </c>
      <c r="V14" s="234" t="s">
        <v>112</v>
      </c>
      <c r="W14" s="235">
        <f t="shared" si="0"/>
        <v>0</v>
      </c>
      <c r="X14" s="235">
        <f t="shared" si="0"/>
        <v>0</v>
      </c>
      <c r="Y14" s="236">
        <f t="shared" si="1"/>
        <v>0</v>
      </c>
      <c r="AA14" s="134"/>
      <c r="AB14" s="134"/>
    </row>
    <row r="15" spans="1:28" s="165" customFormat="1" ht="21">
      <c r="A15" s="129" t="s">
        <v>40</v>
      </c>
      <c r="B15" s="168"/>
      <c r="C15" s="130"/>
      <c r="D15" s="130"/>
      <c r="E15" s="130">
        <f t="shared" si="2"/>
        <v>0</v>
      </c>
      <c r="F15" s="130"/>
      <c r="G15" s="130"/>
      <c r="H15" s="130"/>
      <c r="I15" s="130"/>
      <c r="J15" s="130"/>
      <c r="K15" s="130"/>
      <c r="L15" s="130"/>
      <c r="M15" s="130"/>
      <c r="N15" s="233" t="s">
        <v>112</v>
      </c>
      <c r="O15" s="233" t="s">
        <v>112</v>
      </c>
      <c r="P15" s="130" t="s">
        <v>112</v>
      </c>
      <c r="Q15" s="211" t="s">
        <v>112</v>
      </c>
      <c r="R15" s="19">
        <f>135000+135000</f>
        <v>270000</v>
      </c>
      <c r="S15" s="135">
        <f>63100+54092</f>
        <v>117192</v>
      </c>
      <c r="T15" s="237">
        <v>0</v>
      </c>
      <c r="U15" s="237">
        <f>S15+T15</f>
        <v>117192</v>
      </c>
      <c r="V15" s="234">
        <f>U15*100/R15</f>
        <v>43.404444444444444</v>
      </c>
      <c r="W15" s="235">
        <f t="shared" si="0"/>
        <v>0</v>
      </c>
      <c r="X15" s="235">
        <f t="shared" si="0"/>
        <v>0</v>
      </c>
      <c r="Y15" s="236">
        <f t="shared" si="1"/>
        <v>0</v>
      </c>
      <c r="AA15" s="134"/>
      <c r="AB15" s="134"/>
    </row>
    <row r="16" spans="1:28" s="165" customFormat="1" ht="22.5" customHeight="1">
      <c r="A16" s="161" t="s">
        <v>495</v>
      </c>
      <c r="B16" s="168">
        <v>960</v>
      </c>
      <c r="C16" s="130">
        <f>94+17+56+21+10</f>
        <v>198</v>
      </c>
      <c r="D16" s="130">
        <f>120+109+64+268+20</f>
        <v>581</v>
      </c>
      <c r="E16" s="130">
        <f t="shared" si="2"/>
        <v>779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f aca="true" t="shared" si="5" ref="N16:O22">D16+G16+I16+K16+M16</f>
        <v>581</v>
      </c>
      <c r="P16" s="130">
        <f t="shared" si="4"/>
        <v>581</v>
      </c>
      <c r="Q16" s="211">
        <f>P16*100/B16</f>
        <v>60.520833333333336</v>
      </c>
      <c r="R16" s="19" t="s">
        <v>112</v>
      </c>
      <c r="S16" s="135"/>
      <c r="T16" s="32"/>
      <c r="U16" s="32"/>
      <c r="V16" s="130"/>
      <c r="W16" s="235">
        <f t="shared" si="0"/>
        <v>0</v>
      </c>
      <c r="X16" s="235">
        <f t="shared" si="0"/>
        <v>0</v>
      </c>
      <c r="Y16" s="236">
        <f t="shared" si="1"/>
        <v>0</v>
      </c>
      <c r="AA16" s="134"/>
      <c r="AB16" s="134"/>
    </row>
    <row r="17" spans="1:28" s="165" customFormat="1" ht="21">
      <c r="A17" s="129" t="s">
        <v>45</v>
      </c>
      <c r="B17" s="168"/>
      <c r="C17" s="130"/>
      <c r="D17" s="130"/>
      <c r="E17" s="130">
        <f t="shared" si="2"/>
        <v>0</v>
      </c>
      <c r="F17" s="130"/>
      <c r="G17" s="130"/>
      <c r="H17" s="130" t="s">
        <v>112</v>
      </c>
      <c r="I17" s="130"/>
      <c r="J17" s="130"/>
      <c r="K17" s="130"/>
      <c r="L17" s="130"/>
      <c r="M17" s="130"/>
      <c r="N17" s="233" t="s">
        <v>112</v>
      </c>
      <c r="O17" s="233">
        <f t="shared" si="5"/>
        <v>0</v>
      </c>
      <c r="P17" s="130" t="s">
        <v>112</v>
      </c>
      <c r="Q17" s="211" t="s">
        <v>112</v>
      </c>
      <c r="R17" s="19"/>
      <c r="S17" s="135"/>
      <c r="T17" s="32"/>
      <c r="U17" s="32"/>
      <c r="V17" s="130"/>
      <c r="W17" s="235" t="e">
        <f t="shared" si="0"/>
        <v>#VALUE!</v>
      </c>
      <c r="X17" s="235">
        <f t="shared" si="0"/>
        <v>0</v>
      </c>
      <c r="Y17" s="236" t="e">
        <f t="shared" si="1"/>
        <v>#VALUE!</v>
      </c>
      <c r="AA17" s="134"/>
      <c r="AB17" s="134"/>
    </row>
    <row r="18" spans="1:28" s="242" customFormat="1" ht="42">
      <c r="A18" s="136" t="s">
        <v>496</v>
      </c>
      <c r="B18" s="238">
        <v>1600</v>
      </c>
      <c r="C18" s="136">
        <f>94+218+5</f>
        <v>317</v>
      </c>
      <c r="D18" s="136">
        <f>141+410+20</f>
        <v>571</v>
      </c>
      <c r="E18" s="130">
        <f t="shared" si="2"/>
        <v>888</v>
      </c>
      <c r="F18" s="233">
        <v>0</v>
      </c>
      <c r="G18" s="233">
        <v>0</v>
      </c>
      <c r="H18" s="233">
        <v>0</v>
      </c>
      <c r="I18" s="233">
        <v>0</v>
      </c>
      <c r="J18" s="233">
        <v>0</v>
      </c>
      <c r="K18" s="233">
        <v>0</v>
      </c>
      <c r="L18" s="233">
        <v>0</v>
      </c>
      <c r="M18" s="233">
        <v>0</v>
      </c>
      <c r="N18" s="233">
        <f t="shared" si="5"/>
        <v>317</v>
      </c>
      <c r="O18" s="233">
        <f t="shared" si="5"/>
        <v>571</v>
      </c>
      <c r="P18" s="130">
        <f>N18+O18</f>
        <v>888</v>
      </c>
      <c r="Q18" s="211">
        <f>P18*100/B18</f>
        <v>55.5</v>
      </c>
      <c r="R18" s="238">
        <f>60000+60000</f>
        <v>120000</v>
      </c>
      <c r="S18" s="239">
        <f>9450+50550</f>
        <v>60000</v>
      </c>
      <c r="T18" s="240">
        <v>0</v>
      </c>
      <c r="U18" s="240">
        <f>S18+T18</f>
        <v>60000</v>
      </c>
      <c r="V18" s="241">
        <f>U18*100/R18</f>
        <v>50</v>
      </c>
      <c r="W18" s="235">
        <f t="shared" si="0"/>
        <v>0</v>
      </c>
      <c r="X18" s="235">
        <f t="shared" si="0"/>
        <v>0</v>
      </c>
      <c r="Y18" s="236">
        <f t="shared" si="1"/>
        <v>0</v>
      </c>
      <c r="AA18" s="243"/>
      <c r="AB18" s="243"/>
    </row>
    <row r="19" spans="1:28" s="242" customFormat="1" ht="21">
      <c r="A19" s="136"/>
      <c r="B19" s="164"/>
      <c r="C19" s="136"/>
      <c r="D19" s="136"/>
      <c r="E19" s="136"/>
      <c r="F19" s="233"/>
      <c r="G19" s="233"/>
      <c r="H19" s="233"/>
      <c r="I19" s="233"/>
      <c r="J19" s="233"/>
      <c r="K19" s="233"/>
      <c r="L19" s="233"/>
      <c r="M19" s="233"/>
      <c r="N19" s="233">
        <f t="shared" si="5"/>
        <v>0</v>
      </c>
      <c r="O19" s="233">
        <f t="shared" si="5"/>
        <v>0</v>
      </c>
      <c r="P19" s="130">
        <f>N19+O19</f>
        <v>0</v>
      </c>
      <c r="Q19" s="211"/>
      <c r="R19" s="238"/>
      <c r="S19" s="239"/>
      <c r="T19" s="240"/>
      <c r="U19" s="240"/>
      <c r="V19" s="136"/>
      <c r="Y19" s="244"/>
      <c r="AA19" s="243"/>
      <c r="AB19" s="243"/>
    </row>
    <row r="20" spans="1:28" s="242" customFormat="1" ht="21">
      <c r="A20" s="136"/>
      <c r="B20" s="164"/>
      <c r="C20" s="136"/>
      <c r="D20" s="136"/>
      <c r="E20" s="136"/>
      <c r="F20" s="233"/>
      <c r="G20" s="233"/>
      <c r="H20" s="233"/>
      <c r="I20" s="233"/>
      <c r="J20" s="233"/>
      <c r="K20" s="233"/>
      <c r="L20" s="233"/>
      <c r="M20" s="233"/>
      <c r="N20" s="233">
        <f t="shared" si="5"/>
        <v>0</v>
      </c>
      <c r="O20" s="233">
        <f t="shared" si="5"/>
        <v>0</v>
      </c>
      <c r="P20" s="130">
        <f>N20+O20</f>
        <v>0</v>
      </c>
      <c r="Q20" s="211"/>
      <c r="R20" s="238"/>
      <c r="S20" s="239"/>
      <c r="T20" s="240"/>
      <c r="U20" s="240"/>
      <c r="V20" s="136"/>
      <c r="Y20" s="244"/>
      <c r="AA20" s="243"/>
      <c r="AB20" s="243"/>
    </row>
    <row r="21" spans="1:28" s="165" customFormat="1" ht="21">
      <c r="A21" s="129" t="s">
        <v>49</v>
      </c>
      <c r="B21" s="168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233">
        <f t="shared" si="5"/>
        <v>0</v>
      </c>
      <c r="O21" s="233">
        <f t="shared" si="5"/>
        <v>0</v>
      </c>
      <c r="P21" s="130">
        <f>N21+O21</f>
        <v>0</v>
      </c>
      <c r="Q21" s="211" t="s">
        <v>112</v>
      </c>
      <c r="R21" s="19"/>
      <c r="S21" s="135"/>
      <c r="T21" s="32"/>
      <c r="U21" s="32"/>
      <c r="V21" s="130"/>
      <c r="Y21" s="224"/>
      <c r="AA21" s="134"/>
      <c r="AB21" s="134"/>
    </row>
    <row r="22" spans="1:28" s="165" customFormat="1" ht="21">
      <c r="A22" s="129" t="s">
        <v>50</v>
      </c>
      <c r="B22" s="168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233">
        <f t="shared" si="5"/>
        <v>0</v>
      </c>
      <c r="O22" s="233">
        <f t="shared" si="5"/>
        <v>0</v>
      </c>
      <c r="P22" s="130">
        <f aca="true" t="shared" si="6" ref="P22:P32">N22+O22</f>
        <v>0</v>
      </c>
      <c r="Q22" s="211" t="s">
        <v>112</v>
      </c>
      <c r="R22" s="19"/>
      <c r="S22" s="135"/>
      <c r="T22" s="32"/>
      <c r="U22" s="32"/>
      <c r="V22" s="130"/>
      <c r="Y22" s="224"/>
      <c r="AA22" s="134"/>
      <c r="AB22" s="134"/>
    </row>
    <row r="23" spans="1:22" ht="42">
      <c r="A23" s="245" t="s">
        <v>52</v>
      </c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>
        <f aca="true" t="shared" si="7" ref="N23:O32">F23+H23+J23+L23</f>
        <v>0</v>
      </c>
      <c r="O23" s="247">
        <f t="shared" si="7"/>
        <v>0</v>
      </c>
      <c r="P23" s="247">
        <f t="shared" si="6"/>
        <v>0</v>
      </c>
      <c r="Q23" s="211" t="s">
        <v>112</v>
      </c>
      <c r="R23" s="248"/>
      <c r="S23" s="249"/>
      <c r="T23" s="250"/>
      <c r="U23" s="250"/>
      <c r="V23" s="247"/>
    </row>
    <row r="24" spans="1:28" s="165" customFormat="1" ht="21">
      <c r="A24" s="129" t="s">
        <v>53</v>
      </c>
      <c r="B24" s="168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>
        <f t="shared" si="7"/>
        <v>0</v>
      </c>
      <c r="O24" s="130">
        <f t="shared" si="7"/>
        <v>0</v>
      </c>
      <c r="P24" s="130">
        <f t="shared" si="6"/>
        <v>0</v>
      </c>
      <c r="Q24" s="211" t="s">
        <v>112</v>
      </c>
      <c r="R24" s="19"/>
      <c r="S24" s="135"/>
      <c r="T24" s="32"/>
      <c r="U24" s="32"/>
      <c r="V24" s="130"/>
      <c r="Y24" s="224"/>
      <c r="AA24" s="134"/>
      <c r="AB24" s="134"/>
    </row>
    <row r="25" spans="1:28" s="165" customFormat="1" ht="21">
      <c r="A25" s="129" t="s">
        <v>54</v>
      </c>
      <c r="B25" s="168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>
        <f t="shared" si="7"/>
        <v>0</v>
      </c>
      <c r="O25" s="130">
        <f t="shared" si="7"/>
        <v>0</v>
      </c>
      <c r="P25" s="130">
        <f t="shared" si="6"/>
        <v>0</v>
      </c>
      <c r="Q25" s="211" t="s">
        <v>112</v>
      </c>
      <c r="R25" s="19"/>
      <c r="S25" s="135"/>
      <c r="T25" s="32"/>
      <c r="U25" s="32"/>
      <c r="V25" s="130"/>
      <c r="Y25" s="224"/>
      <c r="AA25" s="134"/>
      <c r="AB25" s="134"/>
    </row>
    <row r="26" spans="1:28" s="165" customFormat="1" ht="21">
      <c r="A26" s="129" t="s">
        <v>55</v>
      </c>
      <c r="B26" s="168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>
        <f t="shared" si="7"/>
        <v>0</v>
      </c>
      <c r="O26" s="130">
        <f t="shared" si="7"/>
        <v>0</v>
      </c>
      <c r="P26" s="130">
        <f t="shared" si="6"/>
        <v>0</v>
      </c>
      <c r="Q26" s="211" t="s">
        <v>112</v>
      </c>
      <c r="R26" s="19"/>
      <c r="S26" s="135"/>
      <c r="T26" s="32"/>
      <c r="U26" s="32"/>
      <c r="V26" s="130"/>
      <c r="Y26" s="224"/>
      <c r="AA26" s="134"/>
      <c r="AB26" s="134"/>
    </row>
    <row r="27" spans="1:28" s="165" customFormat="1" ht="21">
      <c r="A27" s="129" t="s">
        <v>56</v>
      </c>
      <c r="B27" s="168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>
        <f t="shared" si="7"/>
        <v>0</v>
      </c>
      <c r="O27" s="130">
        <f t="shared" si="7"/>
        <v>0</v>
      </c>
      <c r="P27" s="130">
        <f t="shared" si="6"/>
        <v>0</v>
      </c>
      <c r="Q27" s="211" t="s">
        <v>112</v>
      </c>
      <c r="R27" s="19"/>
      <c r="S27" s="135"/>
      <c r="T27" s="32"/>
      <c r="U27" s="32"/>
      <c r="V27" s="130"/>
      <c r="Y27" s="224"/>
      <c r="AA27" s="134"/>
      <c r="AB27" s="134"/>
    </row>
    <row r="28" spans="1:22" ht="42">
      <c r="A28" s="162" t="s">
        <v>57</v>
      </c>
      <c r="B28" s="19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251">
        <f t="shared" si="7"/>
        <v>0</v>
      </c>
      <c r="O28" s="251">
        <f t="shared" si="7"/>
        <v>0</v>
      </c>
      <c r="P28" s="251">
        <f t="shared" si="6"/>
        <v>0</v>
      </c>
      <c r="Q28" s="252" t="s">
        <v>112</v>
      </c>
      <c r="R28" s="253"/>
      <c r="S28" s="254"/>
      <c r="T28" s="255"/>
      <c r="U28" s="255"/>
      <c r="V28" s="251"/>
    </row>
    <row r="29" spans="1:28" s="165" customFormat="1" ht="42">
      <c r="A29" s="164" t="s">
        <v>58</v>
      </c>
      <c r="B29" s="168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>
        <f t="shared" si="7"/>
        <v>0</v>
      </c>
      <c r="O29" s="130">
        <f t="shared" si="7"/>
        <v>0</v>
      </c>
      <c r="P29" s="130">
        <f t="shared" si="6"/>
        <v>0</v>
      </c>
      <c r="Q29" s="211" t="s">
        <v>112</v>
      </c>
      <c r="R29" s="19"/>
      <c r="S29" s="135"/>
      <c r="T29" s="32"/>
      <c r="U29" s="32"/>
      <c r="V29" s="130"/>
      <c r="Y29" s="224"/>
      <c r="AA29" s="134"/>
      <c r="AB29" s="134"/>
    </row>
    <row r="30" spans="1:28" s="165" customFormat="1" ht="21">
      <c r="A30" s="129" t="s">
        <v>59</v>
      </c>
      <c r="B30" s="168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>
        <f t="shared" si="7"/>
        <v>0</v>
      </c>
      <c r="O30" s="130">
        <f t="shared" si="7"/>
        <v>0</v>
      </c>
      <c r="P30" s="130">
        <f t="shared" si="6"/>
        <v>0</v>
      </c>
      <c r="Q30" s="211" t="s">
        <v>112</v>
      </c>
      <c r="R30" s="19"/>
      <c r="S30" s="135"/>
      <c r="T30" s="32"/>
      <c r="U30" s="32"/>
      <c r="V30" s="130"/>
      <c r="Y30" s="224"/>
      <c r="AA30" s="134"/>
      <c r="AB30" s="134"/>
    </row>
    <row r="31" spans="1:28" s="165" customFormat="1" ht="21">
      <c r="A31" s="129" t="s">
        <v>60</v>
      </c>
      <c r="B31" s="256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>
        <f t="shared" si="7"/>
        <v>0</v>
      </c>
      <c r="O31" s="130">
        <f t="shared" si="7"/>
        <v>0</v>
      </c>
      <c r="P31" s="130">
        <f t="shared" si="6"/>
        <v>0</v>
      </c>
      <c r="Q31" s="211" t="s">
        <v>112</v>
      </c>
      <c r="R31" s="19"/>
      <c r="S31" s="135"/>
      <c r="T31" s="32"/>
      <c r="U31" s="32"/>
      <c r="V31" s="130"/>
      <c r="Y31" s="224"/>
      <c r="AA31" s="134"/>
      <c r="AB31" s="134"/>
    </row>
    <row r="32" spans="1:28" s="165" customFormat="1" ht="21">
      <c r="A32" s="129" t="s">
        <v>61</v>
      </c>
      <c r="B32" s="168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>
        <f t="shared" si="7"/>
        <v>0</v>
      </c>
      <c r="O32" s="130">
        <f t="shared" si="7"/>
        <v>0</v>
      </c>
      <c r="P32" s="130">
        <f t="shared" si="6"/>
        <v>0</v>
      </c>
      <c r="Q32" s="211" t="s">
        <v>112</v>
      </c>
      <c r="R32" s="19"/>
      <c r="S32" s="135"/>
      <c r="T32" s="32"/>
      <c r="U32" s="32"/>
      <c r="V32" s="130"/>
      <c r="Y32" s="224"/>
      <c r="AA32" s="134"/>
      <c r="AB32" s="134"/>
    </row>
    <row r="33" spans="1:28" s="165" customFormat="1" ht="21">
      <c r="A33" s="164" t="s">
        <v>62</v>
      </c>
      <c r="B33" s="168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>
        <f>F33+H33+J33+L33</f>
        <v>0</v>
      </c>
      <c r="O33" s="130">
        <f>G33+I33+K33+M33</f>
        <v>0</v>
      </c>
      <c r="P33" s="130">
        <f>N33+O33</f>
        <v>0</v>
      </c>
      <c r="Q33" s="211" t="s">
        <v>112</v>
      </c>
      <c r="R33" s="19"/>
      <c r="S33" s="135"/>
      <c r="T33" s="32"/>
      <c r="U33" s="32"/>
      <c r="V33" s="130"/>
      <c r="Y33" s="224"/>
      <c r="AA33" s="134"/>
      <c r="AB33" s="134"/>
    </row>
    <row r="34" spans="1:23" ht="21">
      <c r="A34" s="257" t="s">
        <v>497</v>
      </c>
      <c r="B34" s="258">
        <f>B35+B52</f>
        <v>55300</v>
      </c>
      <c r="C34" s="258">
        <f aca="true" t="shared" si="8" ref="C34:Q34">C35+C52</f>
        <v>29829</v>
      </c>
      <c r="D34" s="258">
        <f t="shared" si="8"/>
        <v>33737</v>
      </c>
      <c r="E34" s="258">
        <f t="shared" si="8"/>
        <v>63566</v>
      </c>
      <c r="F34" s="258">
        <f t="shared" si="8"/>
        <v>886</v>
      </c>
      <c r="G34" s="258">
        <f t="shared" si="8"/>
        <v>924</v>
      </c>
      <c r="H34" s="258">
        <f t="shared" si="8"/>
        <v>1340</v>
      </c>
      <c r="I34" s="258">
        <f t="shared" si="8"/>
        <v>1504</v>
      </c>
      <c r="J34" s="258">
        <f t="shared" si="8"/>
        <v>954</v>
      </c>
      <c r="K34" s="258">
        <f t="shared" si="8"/>
        <v>1220</v>
      </c>
      <c r="L34" s="258">
        <f t="shared" si="8"/>
        <v>464</v>
      </c>
      <c r="M34" s="258">
        <f t="shared" si="8"/>
        <v>338</v>
      </c>
      <c r="N34" s="258">
        <f t="shared" si="8"/>
        <v>33473</v>
      </c>
      <c r="O34" s="258">
        <f t="shared" si="8"/>
        <v>37723</v>
      </c>
      <c r="P34" s="258">
        <f t="shared" si="8"/>
        <v>71196</v>
      </c>
      <c r="Q34" s="258">
        <f t="shared" si="8"/>
        <v>134.1960396039604</v>
      </c>
      <c r="R34" s="248"/>
      <c r="S34" s="249"/>
      <c r="T34" s="247"/>
      <c r="U34" s="247"/>
      <c r="V34" s="247"/>
      <c r="W34" s="122" t="s">
        <v>498</v>
      </c>
    </row>
    <row r="35" spans="1:28" ht="21">
      <c r="A35" s="257" t="s">
        <v>499</v>
      </c>
      <c r="B35" s="258">
        <f>SUM(B36:B50)</f>
        <v>50500</v>
      </c>
      <c r="C35" s="258">
        <f aca="true" t="shared" si="9" ref="C35:M35">SUM(C36:C50)</f>
        <v>28135</v>
      </c>
      <c r="D35" s="258">
        <f t="shared" si="9"/>
        <v>32004</v>
      </c>
      <c r="E35" s="258">
        <f>C35+D35</f>
        <v>60139</v>
      </c>
      <c r="F35" s="258">
        <f>SUM(F36:F50)</f>
        <v>886</v>
      </c>
      <c r="G35" s="258">
        <f t="shared" si="9"/>
        <v>924</v>
      </c>
      <c r="H35" s="258">
        <f t="shared" si="9"/>
        <v>1340</v>
      </c>
      <c r="I35" s="258">
        <f t="shared" si="9"/>
        <v>1504</v>
      </c>
      <c r="J35" s="258">
        <f t="shared" si="9"/>
        <v>954</v>
      </c>
      <c r="K35" s="258">
        <f t="shared" si="9"/>
        <v>1220</v>
      </c>
      <c r="L35" s="258">
        <f t="shared" si="9"/>
        <v>464</v>
      </c>
      <c r="M35" s="258">
        <f t="shared" si="9"/>
        <v>338</v>
      </c>
      <c r="N35" s="258">
        <f>C35+F35+H35+J35+L35</f>
        <v>31779</v>
      </c>
      <c r="O35" s="258">
        <f>D35+G35+I35+K35+M35</f>
        <v>35990</v>
      </c>
      <c r="P35" s="258">
        <f>N35+O35</f>
        <v>67769</v>
      </c>
      <c r="Q35" s="259">
        <f aca="true" t="shared" si="10" ref="Q35:Q48">P35*100/B35</f>
        <v>134.1960396039604</v>
      </c>
      <c r="R35" s="248">
        <f>AA46+4000</f>
        <v>892880</v>
      </c>
      <c r="S35" s="249">
        <f>227653.04+71214.67+91359.64+52073.9</f>
        <v>442301.25000000006</v>
      </c>
      <c r="T35" s="249">
        <v>91035.43</v>
      </c>
      <c r="U35" s="249">
        <f>S35+T35</f>
        <v>533336.68</v>
      </c>
      <c r="V35" s="260">
        <f>U35*100/R35</f>
        <v>59.732179016217195</v>
      </c>
      <c r="W35" s="261">
        <f>F35+H35+J35+L35</f>
        <v>3644</v>
      </c>
      <c r="X35" s="261">
        <f>G35+I35+K35+M35</f>
        <v>3986</v>
      </c>
      <c r="Y35" s="261">
        <f>W35+X35</f>
        <v>7630</v>
      </c>
      <c r="AA35" s="225">
        <v>7280</v>
      </c>
      <c r="AB35" s="225">
        <v>3816</v>
      </c>
    </row>
    <row r="36" spans="1:28" s="165" customFormat="1" ht="21">
      <c r="A36" s="168" t="s">
        <v>246</v>
      </c>
      <c r="B36" s="19">
        <v>30700</v>
      </c>
      <c r="C36" s="130">
        <f>3044+2938+2934+2201+3582+2603+2739</f>
        <v>20041</v>
      </c>
      <c r="D36" s="130">
        <f>3024+2983+1956+2262+3325+2560+2555</f>
        <v>18665</v>
      </c>
      <c r="E36" s="262">
        <f>C36+D36</f>
        <v>38706</v>
      </c>
      <c r="F36" s="233">
        <v>495</v>
      </c>
      <c r="G36" s="233">
        <v>521</v>
      </c>
      <c r="H36" s="233">
        <v>927</v>
      </c>
      <c r="I36" s="233">
        <v>1104</v>
      </c>
      <c r="J36" s="233">
        <v>699</v>
      </c>
      <c r="K36" s="233">
        <v>955</v>
      </c>
      <c r="L36" s="233">
        <v>312</v>
      </c>
      <c r="M36" s="233">
        <v>212</v>
      </c>
      <c r="N36" s="130">
        <f aca="true" t="shared" si="11" ref="N36:O50">F36+H36+J36+L36+C36</f>
        <v>22474</v>
      </c>
      <c r="O36" s="130">
        <f t="shared" si="11"/>
        <v>21457</v>
      </c>
      <c r="P36" s="130">
        <f>N36+O36</f>
        <v>43931</v>
      </c>
      <c r="Q36" s="211">
        <f t="shared" si="10"/>
        <v>143.09771986970685</v>
      </c>
      <c r="R36" s="19"/>
      <c r="S36" s="135"/>
      <c r="T36" s="130"/>
      <c r="U36" s="130"/>
      <c r="V36" s="130"/>
      <c r="W36" s="235">
        <f>F36+H36+J36+L36</f>
        <v>2433</v>
      </c>
      <c r="X36" s="235">
        <f aca="true" t="shared" si="12" ref="W36:X51">G36+I36+K36+M36</f>
        <v>2792</v>
      </c>
      <c r="Y36" s="236">
        <f aca="true" t="shared" si="13" ref="Y36:Y91">W36+X36</f>
        <v>5225</v>
      </c>
      <c r="AA36" s="134">
        <f>304800+304800</f>
        <v>609600</v>
      </c>
      <c r="AB36" s="134">
        <v>355200</v>
      </c>
    </row>
    <row r="37" spans="1:28" s="165" customFormat="1" ht="21">
      <c r="A37" s="168" t="s">
        <v>247</v>
      </c>
      <c r="B37" s="19">
        <v>500</v>
      </c>
      <c r="C37" s="130">
        <f>952+53+10+9+7+7</f>
        <v>1038</v>
      </c>
      <c r="D37" s="130">
        <f>27+89+69+25+16+16+21</f>
        <v>263</v>
      </c>
      <c r="E37" s="262">
        <f aca="true" t="shared" si="14" ref="E37:E50">C37+D37</f>
        <v>1301</v>
      </c>
      <c r="F37" s="233">
        <v>3</v>
      </c>
      <c r="G37" s="233">
        <v>4</v>
      </c>
      <c r="H37" s="233">
        <v>1</v>
      </c>
      <c r="I37" s="233">
        <v>10</v>
      </c>
      <c r="J37" s="233">
        <v>2</v>
      </c>
      <c r="K37" s="233">
        <v>4</v>
      </c>
      <c r="L37" s="233">
        <v>1</v>
      </c>
      <c r="M37" s="233">
        <v>0</v>
      </c>
      <c r="N37" s="233">
        <f t="shared" si="11"/>
        <v>1045</v>
      </c>
      <c r="O37" s="233">
        <f t="shared" si="11"/>
        <v>281</v>
      </c>
      <c r="P37" s="130">
        <f aca="true" t="shared" si="15" ref="P37:P50">N37+O37</f>
        <v>1326</v>
      </c>
      <c r="Q37" s="211">
        <f t="shared" si="10"/>
        <v>265.2</v>
      </c>
      <c r="R37" s="19"/>
      <c r="S37" s="135"/>
      <c r="T37" s="130"/>
      <c r="U37" s="130"/>
      <c r="V37" s="130"/>
      <c r="W37" s="235">
        <f t="shared" si="12"/>
        <v>7</v>
      </c>
      <c r="X37" s="235">
        <f t="shared" si="12"/>
        <v>18</v>
      </c>
      <c r="Y37" s="236">
        <f t="shared" si="13"/>
        <v>25</v>
      </c>
      <c r="AA37" s="134">
        <v>6000</v>
      </c>
      <c r="AB37" s="134">
        <v>6000</v>
      </c>
    </row>
    <row r="38" spans="1:28" s="165" customFormat="1" ht="21">
      <c r="A38" s="168" t="s">
        <v>66</v>
      </c>
      <c r="B38" s="168"/>
      <c r="C38" s="130" t="s">
        <v>112</v>
      </c>
      <c r="D38" s="130" t="s">
        <v>112</v>
      </c>
      <c r="E38" s="262" t="s">
        <v>112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 t="s">
        <v>112</v>
      </c>
      <c r="O38" s="233" t="s">
        <v>112</v>
      </c>
      <c r="P38" s="130" t="s">
        <v>112</v>
      </c>
      <c r="Q38" s="211" t="s">
        <v>112</v>
      </c>
      <c r="R38" s="19"/>
      <c r="S38" s="135"/>
      <c r="T38" s="130"/>
      <c r="U38" s="130"/>
      <c r="V38" s="130"/>
      <c r="W38" s="235">
        <f t="shared" si="12"/>
        <v>0</v>
      </c>
      <c r="X38" s="235">
        <f t="shared" si="12"/>
        <v>0</v>
      </c>
      <c r="Y38" s="236">
        <f t="shared" si="13"/>
        <v>0</v>
      </c>
      <c r="AA38" s="134">
        <v>5000</v>
      </c>
      <c r="AB38" s="134">
        <v>0</v>
      </c>
    </row>
    <row r="39" spans="1:28" s="165" customFormat="1" ht="21">
      <c r="A39" s="130" t="s">
        <v>500</v>
      </c>
      <c r="B39" s="168">
        <v>300</v>
      </c>
      <c r="C39" s="130">
        <v>0</v>
      </c>
      <c r="D39" s="130">
        <v>0</v>
      </c>
      <c r="E39" s="262">
        <f t="shared" si="14"/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f t="shared" si="11"/>
        <v>0</v>
      </c>
      <c r="O39" s="233">
        <f t="shared" si="11"/>
        <v>0</v>
      </c>
      <c r="P39" s="130">
        <f t="shared" si="15"/>
        <v>0</v>
      </c>
      <c r="Q39" s="211">
        <f t="shared" si="10"/>
        <v>0</v>
      </c>
      <c r="R39" s="19"/>
      <c r="S39" s="135"/>
      <c r="T39" s="130"/>
      <c r="U39" s="130"/>
      <c r="V39" s="130"/>
      <c r="W39" s="235">
        <f t="shared" si="12"/>
        <v>0</v>
      </c>
      <c r="X39" s="235">
        <f t="shared" si="12"/>
        <v>0</v>
      </c>
      <c r="Y39" s="236">
        <f t="shared" si="13"/>
        <v>0</v>
      </c>
      <c r="AA39" s="134">
        <v>12000</v>
      </c>
      <c r="AB39" s="134">
        <v>6000</v>
      </c>
    </row>
    <row r="40" spans="1:28" s="165" customFormat="1" ht="21">
      <c r="A40" s="130" t="s">
        <v>501</v>
      </c>
      <c r="B40" s="168">
        <v>500</v>
      </c>
      <c r="C40" s="130">
        <f>340</f>
        <v>340</v>
      </c>
      <c r="D40" s="130">
        <f>358</f>
        <v>358</v>
      </c>
      <c r="E40" s="262">
        <f t="shared" si="14"/>
        <v>698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f t="shared" si="11"/>
        <v>340</v>
      </c>
      <c r="O40" s="233">
        <f t="shared" si="11"/>
        <v>358</v>
      </c>
      <c r="P40" s="130">
        <f t="shared" si="15"/>
        <v>698</v>
      </c>
      <c r="Q40" s="211">
        <f t="shared" si="10"/>
        <v>139.6</v>
      </c>
      <c r="R40" s="19"/>
      <c r="S40" s="135"/>
      <c r="T40" s="130"/>
      <c r="U40" s="130"/>
      <c r="V40" s="130"/>
      <c r="W40" s="235">
        <f t="shared" si="12"/>
        <v>0</v>
      </c>
      <c r="X40" s="235">
        <f t="shared" si="12"/>
        <v>0</v>
      </c>
      <c r="Y40" s="236">
        <f t="shared" si="13"/>
        <v>0</v>
      </c>
      <c r="AA40" s="134">
        <v>11000</v>
      </c>
      <c r="AB40" s="134">
        <v>8938.68</v>
      </c>
    </row>
    <row r="41" spans="1:28" s="165" customFormat="1" ht="42">
      <c r="A41" s="136" t="s">
        <v>502</v>
      </c>
      <c r="B41" s="168">
        <v>2000</v>
      </c>
      <c r="C41" s="130">
        <f>36+55+64+95+76+83+314</f>
        <v>723</v>
      </c>
      <c r="D41" s="130">
        <f>33+47+76+75+69+98+333</f>
        <v>731</v>
      </c>
      <c r="E41" s="262">
        <f t="shared" si="14"/>
        <v>1454</v>
      </c>
      <c r="F41" s="233">
        <v>90</v>
      </c>
      <c r="G41" s="233">
        <v>112</v>
      </c>
      <c r="H41" s="233">
        <v>124</v>
      </c>
      <c r="I41" s="233">
        <v>99</v>
      </c>
      <c r="J41" s="233">
        <v>42</v>
      </c>
      <c r="K41" s="233">
        <v>39</v>
      </c>
      <c r="L41" s="233">
        <v>26</v>
      </c>
      <c r="M41" s="233">
        <v>25</v>
      </c>
      <c r="N41" s="233">
        <f t="shared" si="11"/>
        <v>1005</v>
      </c>
      <c r="O41" s="233">
        <f t="shared" si="11"/>
        <v>1006</v>
      </c>
      <c r="P41" s="130">
        <f t="shared" si="15"/>
        <v>2011</v>
      </c>
      <c r="Q41" s="211">
        <f t="shared" si="10"/>
        <v>100.55</v>
      </c>
      <c r="R41" s="19"/>
      <c r="S41" s="135"/>
      <c r="T41" s="130"/>
      <c r="U41" s="130"/>
      <c r="V41" s="130"/>
      <c r="W41" s="235">
        <f t="shared" si="12"/>
        <v>282</v>
      </c>
      <c r="X41" s="235">
        <f t="shared" si="12"/>
        <v>275</v>
      </c>
      <c r="Y41" s="236">
        <f t="shared" si="13"/>
        <v>557</v>
      </c>
      <c r="AA41" s="134">
        <v>0</v>
      </c>
      <c r="AB41" s="134">
        <v>0</v>
      </c>
    </row>
    <row r="42" spans="1:28" s="165" customFormat="1" ht="21">
      <c r="A42" s="130" t="s">
        <v>503</v>
      </c>
      <c r="B42" s="168">
        <v>500</v>
      </c>
      <c r="C42" s="130">
        <f>37+37+42+35+32+51+56</f>
        <v>290</v>
      </c>
      <c r="D42" s="130">
        <f>32+29+35+35+31+59+59</f>
        <v>280</v>
      </c>
      <c r="E42" s="262">
        <f t="shared" si="14"/>
        <v>570</v>
      </c>
      <c r="F42" s="233">
        <v>15</v>
      </c>
      <c r="G42" s="233">
        <v>16</v>
      </c>
      <c r="H42" s="233">
        <v>12</v>
      </c>
      <c r="I42" s="233">
        <v>15</v>
      </c>
      <c r="J42" s="233">
        <v>19</v>
      </c>
      <c r="K42" s="233">
        <v>14</v>
      </c>
      <c r="L42" s="233">
        <v>9</v>
      </c>
      <c r="M42" s="233">
        <v>6</v>
      </c>
      <c r="N42" s="233">
        <f t="shared" si="11"/>
        <v>345</v>
      </c>
      <c r="O42" s="233">
        <f t="shared" si="11"/>
        <v>331</v>
      </c>
      <c r="P42" s="130">
        <f t="shared" si="15"/>
        <v>676</v>
      </c>
      <c r="Q42" s="211">
        <f t="shared" si="10"/>
        <v>135.2</v>
      </c>
      <c r="R42" s="19"/>
      <c r="S42" s="135"/>
      <c r="T42" s="130"/>
      <c r="U42" s="130"/>
      <c r="V42" s="130"/>
      <c r="W42" s="235">
        <f t="shared" si="12"/>
        <v>55</v>
      </c>
      <c r="X42" s="235">
        <f t="shared" si="12"/>
        <v>51</v>
      </c>
      <c r="Y42" s="236">
        <f t="shared" si="13"/>
        <v>106</v>
      </c>
      <c r="AA42" s="134">
        <v>12000</v>
      </c>
      <c r="AB42" s="134">
        <v>6383</v>
      </c>
    </row>
    <row r="43" spans="1:28" s="165" customFormat="1" ht="21">
      <c r="A43" s="130" t="s">
        <v>504</v>
      </c>
      <c r="B43" s="19">
        <v>2000</v>
      </c>
      <c r="C43" s="130">
        <f>63+47+62+84+105+102+109</f>
        <v>572</v>
      </c>
      <c r="D43" s="130">
        <f>6442+0+51+71+96+106+98</f>
        <v>6864</v>
      </c>
      <c r="E43" s="262">
        <f t="shared" si="14"/>
        <v>7436</v>
      </c>
      <c r="F43" s="233">
        <v>33</v>
      </c>
      <c r="G43" s="233">
        <v>22</v>
      </c>
      <c r="H43" s="233">
        <v>45</v>
      </c>
      <c r="I43" s="233">
        <v>48</v>
      </c>
      <c r="J43" s="233">
        <v>32</v>
      </c>
      <c r="K43" s="233">
        <v>36</v>
      </c>
      <c r="L43" s="233">
        <v>21</v>
      </c>
      <c r="M43" s="233">
        <v>11</v>
      </c>
      <c r="N43" s="233">
        <f t="shared" si="11"/>
        <v>703</v>
      </c>
      <c r="O43" s="233">
        <f t="shared" si="11"/>
        <v>6981</v>
      </c>
      <c r="P43" s="130">
        <f t="shared" si="15"/>
        <v>7684</v>
      </c>
      <c r="Q43" s="211">
        <f t="shared" si="10"/>
        <v>384.2</v>
      </c>
      <c r="R43" s="19"/>
      <c r="S43" s="135"/>
      <c r="T43" s="130"/>
      <c r="U43" s="130"/>
      <c r="V43" s="130"/>
      <c r="W43" s="235">
        <f t="shared" si="12"/>
        <v>131</v>
      </c>
      <c r="X43" s="235">
        <f t="shared" si="12"/>
        <v>117</v>
      </c>
      <c r="Y43" s="236">
        <f t="shared" si="13"/>
        <v>248</v>
      </c>
      <c r="AA43" s="134">
        <f>20000+20000</f>
        <v>40000</v>
      </c>
      <c r="AB43" s="134">
        <v>20000</v>
      </c>
    </row>
    <row r="44" spans="1:28" s="165" customFormat="1" ht="42">
      <c r="A44" s="136" t="s">
        <v>505</v>
      </c>
      <c r="B44" s="19">
        <v>1000</v>
      </c>
      <c r="C44" s="130">
        <f>91+69+60+70+50+53+84</f>
        <v>477</v>
      </c>
      <c r="D44" s="130">
        <f>97+69+70+66+50+66+76</f>
        <v>494</v>
      </c>
      <c r="E44" s="262">
        <f t="shared" si="14"/>
        <v>971</v>
      </c>
      <c r="F44" s="233">
        <v>26</v>
      </c>
      <c r="G44" s="233">
        <v>29</v>
      </c>
      <c r="H44" s="233">
        <v>23</v>
      </c>
      <c r="I44" s="233">
        <v>23</v>
      </c>
      <c r="J44" s="233">
        <v>26</v>
      </c>
      <c r="K44" s="233">
        <v>29</v>
      </c>
      <c r="L44" s="233">
        <v>9</v>
      </c>
      <c r="M44" s="233">
        <v>12</v>
      </c>
      <c r="N44" s="233">
        <f t="shared" si="11"/>
        <v>561</v>
      </c>
      <c r="O44" s="233">
        <f t="shared" si="11"/>
        <v>587</v>
      </c>
      <c r="P44" s="130">
        <f t="shared" si="15"/>
        <v>1148</v>
      </c>
      <c r="Q44" s="211">
        <f t="shared" si="10"/>
        <v>114.8</v>
      </c>
      <c r="R44" s="19"/>
      <c r="S44" s="135"/>
      <c r="T44" s="130"/>
      <c r="U44" s="130"/>
      <c r="V44" s="130"/>
      <c r="W44" s="235">
        <f t="shared" si="12"/>
        <v>84</v>
      </c>
      <c r="X44" s="235">
        <f t="shared" si="12"/>
        <v>93</v>
      </c>
      <c r="Y44" s="236">
        <f t="shared" si="13"/>
        <v>177</v>
      </c>
      <c r="AA44" s="134">
        <v>180000</v>
      </c>
      <c r="AB44" s="134">
        <v>120000</v>
      </c>
    </row>
    <row r="45" spans="1:28" s="165" customFormat="1" ht="21">
      <c r="A45" s="130" t="s">
        <v>506</v>
      </c>
      <c r="B45" s="19">
        <v>3000</v>
      </c>
      <c r="C45" s="130">
        <f>192+244+209+207+454+380+285</f>
        <v>1971</v>
      </c>
      <c r="D45" s="130">
        <f>153+227+182+151+304+321+306</f>
        <v>1644</v>
      </c>
      <c r="E45" s="262">
        <f t="shared" si="14"/>
        <v>3615</v>
      </c>
      <c r="F45" s="233">
        <v>36</v>
      </c>
      <c r="G45" s="233">
        <v>32</v>
      </c>
      <c r="H45" s="233">
        <v>99</v>
      </c>
      <c r="I45" s="233">
        <v>105</v>
      </c>
      <c r="J45" s="233">
        <v>45</v>
      </c>
      <c r="K45" s="233">
        <v>50</v>
      </c>
      <c r="L45" s="233">
        <v>18</v>
      </c>
      <c r="M45" s="233">
        <v>21</v>
      </c>
      <c r="N45" s="233">
        <f t="shared" si="11"/>
        <v>2169</v>
      </c>
      <c r="O45" s="233">
        <f t="shared" si="11"/>
        <v>1852</v>
      </c>
      <c r="P45" s="130">
        <f t="shared" si="15"/>
        <v>4021</v>
      </c>
      <c r="Q45" s="211">
        <f t="shared" si="10"/>
        <v>134.03333333333333</v>
      </c>
      <c r="R45" s="19"/>
      <c r="S45" s="135"/>
      <c r="T45" s="130"/>
      <c r="U45" s="130"/>
      <c r="V45" s="130"/>
      <c r="W45" s="235">
        <f t="shared" si="12"/>
        <v>198</v>
      </c>
      <c r="X45" s="235">
        <f t="shared" si="12"/>
        <v>208</v>
      </c>
      <c r="Y45" s="236">
        <f t="shared" si="13"/>
        <v>406</v>
      </c>
      <c r="AA45" s="134">
        <v>6000</v>
      </c>
      <c r="AB45" s="134">
        <v>3000</v>
      </c>
    </row>
    <row r="46" spans="1:28" s="165" customFormat="1" ht="21">
      <c r="A46" s="130" t="s">
        <v>507</v>
      </c>
      <c r="B46" s="19">
        <v>3000</v>
      </c>
      <c r="C46" s="130">
        <f>88+95+52+47+49+73+86</f>
        <v>490</v>
      </c>
      <c r="D46" s="130">
        <f>77+82+66+54+59+82+68</f>
        <v>488</v>
      </c>
      <c r="E46" s="262">
        <f t="shared" si="14"/>
        <v>978</v>
      </c>
      <c r="F46" s="233">
        <v>23</v>
      </c>
      <c r="G46" s="233">
        <v>25</v>
      </c>
      <c r="H46" s="233">
        <v>30</v>
      </c>
      <c r="I46" s="233">
        <v>25</v>
      </c>
      <c r="J46" s="233">
        <v>25</v>
      </c>
      <c r="K46" s="233">
        <v>23</v>
      </c>
      <c r="L46" s="233">
        <v>10</v>
      </c>
      <c r="M46" s="233">
        <v>9</v>
      </c>
      <c r="N46" s="233">
        <f t="shared" si="11"/>
        <v>578</v>
      </c>
      <c r="O46" s="233">
        <f t="shared" si="11"/>
        <v>570</v>
      </c>
      <c r="P46" s="130">
        <f t="shared" si="15"/>
        <v>1148</v>
      </c>
      <c r="Q46" s="211">
        <f t="shared" si="10"/>
        <v>38.266666666666666</v>
      </c>
      <c r="R46" s="19"/>
      <c r="S46" s="135"/>
      <c r="T46" s="130"/>
      <c r="U46" s="130"/>
      <c r="V46" s="130"/>
      <c r="W46" s="235">
        <f t="shared" si="12"/>
        <v>88</v>
      </c>
      <c r="X46" s="235">
        <f t="shared" si="12"/>
        <v>82</v>
      </c>
      <c r="Y46" s="236">
        <f t="shared" si="13"/>
        <v>170</v>
      </c>
      <c r="AA46" s="263">
        <f>SUM(AA35:AA45)</f>
        <v>888880</v>
      </c>
      <c r="AB46" s="263">
        <f>SUM(AB35:AB45)</f>
        <v>529337.6799999999</v>
      </c>
    </row>
    <row r="47" spans="1:28" s="165" customFormat="1" ht="21">
      <c r="A47" s="130" t="s">
        <v>508</v>
      </c>
      <c r="B47" s="19">
        <v>2000</v>
      </c>
      <c r="C47" s="130">
        <f>54+65+81+81+55+51+67</f>
        <v>454</v>
      </c>
      <c r="D47" s="130">
        <f>43+54+73+73+51+57+75</f>
        <v>426</v>
      </c>
      <c r="E47" s="262">
        <f t="shared" si="14"/>
        <v>880</v>
      </c>
      <c r="F47" s="233">
        <v>36</v>
      </c>
      <c r="G47" s="233">
        <v>29</v>
      </c>
      <c r="H47" s="233">
        <v>25</v>
      </c>
      <c r="I47" s="233">
        <v>22</v>
      </c>
      <c r="J47" s="233">
        <v>17</v>
      </c>
      <c r="K47" s="233">
        <v>21</v>
      </c>
      <c r="L47" s="233">
        <v>9</v>
      </c>
      <c r="M47" s="233">
        <v>7</v>
      </c>
      <c r="N47" s="233">
        <f t="shared" si="11"/>
        <v>541</v>
      </c>
      <c r="O47" s="233">
        <f t="shared" si="11"/>
        <v>505</v>
      </c>
      <c r="P47" s="130">
        <f t="shared" si="15"/>
        <v>1046</v>
      </c>
      <c r="Q47" s="211">
        <f t="shared" si="10"/>
        <v>52.3</v>
      </c>
      <c r="R47" s="19"/>
      <c r="S47" s="135"/>
      <c r="T47" s="130"/>
      <c r="U47" s="130"/>
      <c r="V47" s="130"/>
      <c r="W47" s="235">
        <f t="shared" si="12"/>
        <v>87</v>
      </c>
      <c r="X47" s="235">
        <f t="shared" si="12"/>
        <v>79</v>
      </c>
      <c r="Y47" s="236">
        <f t="shared" si="13"/>
        <v>166</v>
      </c>
      <c r="Z47" s="165" t="s">
        <v>509</v>
      </c>
      <c r="AA47" s="134">
        <v>4000</v>
      </c>
      <c r="AB47" s="134">
        <v>4000</v>
      </c>
    </row>
    <row r="48" spans="1:28" s="165" customFormat="1" ht="21">
      <c r="A48" s="130" t="s">
        <v>510</v>
      </c>
      <c r="B48" s="19">
        <v>1200</v>
      </c>
      <c r="C48" s="130">
        <f>122+85+93+115+98+82+122</f>
        <v>717</v>
      </c>
      <c r="D48" s="130">
        <f>124+90+69+138+107+93+118</f>
        <v>739</v>
      </c>
      <c r="E48" s="262">
        <f t="shared" si="14"/>
        <v>1456</v>
      </c>
      <c r="F48" s="233">
        <v>36</v>
      </c>
      <c r="G48" s="233">
        <v>41</v>
      </c>
      <c r="H48" s="233">
        <v>25</v>
      </c>
      <c r="I48" s="233">
        <v>22</v>
      </c>
      <c r="J48" s="233">
        <v>17</v>
      </c>
      <c r="K48" s="233">
        <v>21</v>
      </c>
      <c r="L48" s="233">
        <v>9</v>
      </c>
      <c r="M48" s="233">
        <v>7</v>
      </c>
      <c r="N48" s="233">
        <f t="shared" si="11"/>
        <v>804</v>
      </c>
      <c r="O48" s="233">
        <f t="shared" si="11"/>
        <v>830</v>
      </c>
      <c r="P48" s="130">
        <f t="shared" si="15"/>
        <v>1634</v>
      </c>
      <c r="Q48" s="211">
        <f t="shared" si="10"/>
        <v>136.16666666666666</v>
      </c>
      <c r="R48" s="19"/>
      <c r="S48" s="135"/>
      <c r="T48" s="130"/>
      <c r="U48" s="130"/>
      <c r="V48" s="130"/>
      <c r="W48" s="235">
        <f t="shared" si="12"/>
        <v>87</v>
      </c>
      <c r="X48" s="235">
        <f t="shared" si="12"/>
        <v>91</v>
      </c>
      <c r="Y48" s="236">
        <f t="shared" si="13"/>
        <v>178</v>
      </c>
      <c r="AA48" s="254">
        <f>AA46+AA47</f>
        <v>892880</v>
      </c>
      <c r="AB48" s="254">
        <f>AB46+AB47</f>
        <v>533337.6799999999</v>
      </c>
    </row>
    <row r="49" spans="1:28" s="165" customFormat="1" ht="42">
      <c r="A49" s="136" t="s">
        <v>511</v>
      </c>
      <c r="B49" s="19">
        <v>3800</v>
      </c>
      <c r="C49" s="130">
        <f>198+170+133+128+119+110+164</f>
        <v>1022</v>
      </c>
      <c r="D49" s="130">
        <f>222+218+133+116+90+109+164</f>
        <v>1052</v>
      </c>
      <c r="E49" s="262">
        <f>C49+D49</f>
        <v>2074</v>
      </c>
      <c r="F49" s="233">
        <v>54</v>
      </c>
      <c r="G49" s="233">
        <v>41</v>
      </c>
      <c r="H49" s="233">
        <v>29</v>
      </c>
      <c r="I49" s="233">
        <v>31</v>
      </c>
      <c r="J49" s="233">
        <v>30</v>
      </c>
      <c r="K49" s="233">
        <v>28</v>
      </c>
      <c r="L49" s="233">
        <v>40</v>
      </c>
      <c r="M49" s="233">
        <v>28</v>
      </c>
      <c r="N49" s="233">
        <f>F49+H49+J49+L49+C49</f>
        <v>1175</v>
      </c>
      <c r="O49" s="233">
        <f>G49+I49+K49+M49+D49</f>
        <v>1180</v>
      </c>
      <c r="P49" s="130">
        <f>N49+O49</f>
        <v>2355</v>
      </c>
      <c r="Q49" s="211">
        <f>P49*100/B49</f>
        <v>61.973684210526315</v>
      </c>
      <c r="R49" s="19"/>
      <c r="S49" s="135"/>
      <c r="T49" s="130"/>
      <c r="U49" s="130"/>
      <c r="V49" s="130"/>
      <c r="W49" s="235">
        <f>F49+H49+J49+L49</f>
        <v>153</v>
      </c>
      <c r="X49" s="235">
        <f>G49+I49+K49+M49</f>
        <v>128</v>
      </c>
      <c r="Y49" s="236">
        <f>W49+X49</f>
        <v>281</v>
      </c>
      <c r="AA49" s="134"/>
      <c r="AB49" s="134"/>
    </row>
    <row r="50" spans="1:28" s="165" customFormat="1" ht="21">
      <c r="A50" s="136" t="s">
        <v>512</v>
      </c>
      <c r="B50" s="19">
        <v>0</v>
      </c>
      <c r="C50" s="130">
        <v>0</v>
      </c>
      <c r="D50" s="130">
        <v>0</v>
      </c>
      <c r="E50" s="262">
        <f t="shared" si="14"/>
        <v>0</v>
      </c>
      <c r="F50" s="233">
        <v>39</v>
      </c>
      <c r="G50" s="233">
        <v>52</v>
      </c>
      <c r="H50" s="233">
        <v>0</v>
      </c>
      <c r="I50" s="233">
        <v>0</v>
      </c>
      <c r="J50" s="233">
        <v>0</v>
      </c>
      <c r="K50" s="233">
        <v>0</v>
      </c>
      <c r="L50" s="233">
        <v>0</v>
      </c>
      <c r="M50" s="233">
        <v>0</v>
      </c>
      <c r="N50" s="233">
        <f t="shared" si="11"/>
        <v>39</v>
      </c>
      <c r="O50" s="233">
        <f t="shared" si="11"/>
        <v>52</v>
      </c>
      <c r="P50" s="130">
        <f t="shared" si="15"/>
        <v>91</v>
      </c>
      <c r="Q50" s="211">
        <v>0</v>
      </c>
      <c r="R50" s="19"/>
      <c r="S50" s="135"/>
      <c r="T50" s="130"/>
      <c r="U50" s="130"/>
      <c r="V50" s="130"/>
      <c r="W50" s="235">
        <f t="shared" si="12"/>
        <v>39</v>
      </c>
      <c r="X50" s="235">
        <f t="shared" si="12"/>
        <v>52</v>
      </c>
      <c r="Y50" s="236">
        <f t="shared" si="13"/>
        <v>91</v>
      </c>
      <c r="AA50" s="134"/>
      <c r="AB50" s="134"/>
    </row>
    <row r="51" spans="1:28" s="165" customFormat="1" ht="21">
      <c r="A51" s="168" t="s">
        <v>71</v>
      </c>
      <c r="B51" s="168"/>
      <c r="C51" s="130"/>
      <c r="D51" s="130"/>
      <c r="E51" s="130" t="s">
        <v>112</v>
      </c>
      <c r="F51" s="130"/>
      <c r="G51" s="130"/>
      <c r="H51" s="130"/>
      <c r="I51" s="130"/>
      <c r="J51" s="130"/>
      <c r="K51" s="130"/>
      <c r="L51" s="130" t="s">
        <v>112</v>
      </c>
      <c r="M51" s="130"/>
      <c r="N51" s="130" t="s">
        <v>112</v>
      </c>
      <c r="O51" s="130" t="s">
        <v>112</v>
      </c>
      <c r="P51" s="130" t="s">
        <v>112</v>
      </c>
      <c r="Q51" s="211" t="s">
        <v>112</v>
      </c>
      <c r="R51" s="19"/>
      <c r="S51" s="135"/>
      <c r="T51" s="32"/>
      <c r="U51" s="32"/>
      <c r="V51" s="130"/>
      <c r="W51" s="235" t="e">
        <f t="shared" si="12"/>
        <v>#VALUE!</v>
      </c>
      <c r="X51" s="235">
        <f t="shared" si="12"/>
        <v>0</v>
      </c>
      <c r="Y51" s="236" t="e">
        <f t="shared" si="13"/>
        <v>#VALUE!</v>
      </c>
      <c r="AA51" s="134"/>
      <c r="AB51" s="134"/>
    </row>
    <row r="52" spans="1:28" s="272" customFormat="1" ht="42">
      <c r="A52" s="264" t="s">
        <v>513</v>
      </c>
      <c r="B52" s="265">
        <v>4800</v>
      </c>
      <c r="C52" s="266">
        <f>SUM(C53:C61)</f>
        <v>1694</v>
      </c>
      <c r="D52" s="266">
        <f>SUM(D53:D61)</f>
        <v>1733</v>
      </c>
      <c r="E52" s="266">
        <f aca="true" t="shared" si="16" ref="E52:E91">C52+D52</f>
        <v>3427</v>
      </c>
      <c r="F52" s="267">
        <f>F53+F55+F56+F57+F58+F59+F60+F61</f>
        <v>0</v>
      </c>
      <c r="G52" s="267">
        <f aca="true" t="shared" si="17" ref="G52:M52">G53+G55+G56+G57+G58+G59+G60+G61</f>
        <v>0</v>
      </c>
      <c r="H52" s="267">
        <f t="shared" si="17"/>
        <v>0</v>
      </c>
      <c r="I52" s="267">
        <f t="shared" si="17"/>
        <v>0</v>
      </c>
      <c r="J52" s="267">
        <f t="shared" si="17"/>
        <v>0</v>
      </c>
      <c r="K52" s="267">
        <f t="shared" si="17"/>
        <v>0</v>
      </c>
      <c r="L52" s="267">
        <f t="shared" si="17"/>
        <v>0</v>
      </c>
      <c r="M52" s="267">
        <f t="shared" si="17"/>
        <v>0</v>
      </c>
      <c r="N52" s="267">
        <f>C52+F52+H52+J52+L52</f>
        <v>1694</v>
      </c>
      <c r="O52" s="267">
        <f>D52+G52+I52+K52+M52</f>
        <v>1733</v>
      </c>
      <c r="P52" s="267">
        <f>N52+O52</f>
        <v>3427</v>
      </c>
      <c r="Q52" s="268">
        <v>0</v>
      </c>
      <c r="R52" s="265">
        <f>AA52</f>
        <v>36000</v>
      </c>
      <c r="S52" s="269">
        <f>10950+5150</f>
        <v>16100</v>
      </c>
      <c r="T52" s="270">
        <v>300</v>
      </c>
      <c r="U52" s="270">
        <f>S52+T52</f>
        <v>16400</v>
      </c>
      <c r="V52" s="271">
        <f>U52*100/R52</f>
        <v>45.55555555555556</v>
      </c>
      <c r="W52" s="235">
        <f aca="true" t="shared" si="18" ref="W52:X67">F52+H52+J52+L52</f>
        <v>0</v>
      </c>
      <c r="X52" s="235">
        <f t="shared" si="18"/>
        <v>0</v>
      </c>
      <c r="Y52" s="236">
        <f t="shared" si="13"/>
        <v>0</v>
      </c>
      <c r="AA52" s="273">
        <f>18000+18000</f>
        <v>36000</v>
      </c>
      <c r="AB52" s="273">
        <v>16100</v>
      </c>
    </row>
    <row r="53" spans="1:28" s="165" customFormat="1" ht="21">
      <c r="A53" s="130" t="s">
        <v>514</v>
      </c>
      <c r="B53" s="168"/>
      <c r="C53" s="130">
        <f>38+23</f>
        <v>61</v>
      </c>
      <c r="D53" s="130">
        <f>52+7</f>
        <v>59</v>
      </c>
      <c r="E53" s="130">
        <f t="shared" si="16"/>
        <v>120</v>
      </c>
      <c r="F53" s="233">
        <v>0</v>
      </c>
      <c r="G53" s="233">
        <v>0</v>
      </c>
      <c r="H53" s="233">
        <v>0</v>
      </c>
      <c r="I53" s="233">
        <v>0</v>
      </c>
      <c r="J53" s="233">
        <v>0</v>
      </c>
      <c r="K53" s="233">
        <v>0</v>
      </c>
      <c r="L53" s="233">
        <v>0</v>
      </c>
      <c r="M53" s="233">
        <v>0</v>
      </c>
      <c r="N53" s="233">
        <f>F53+H53+J53+L53+C53</f>
        <v>61</v>
      </c>
      <c r="O53" s="233">
        <f aca="true" t="shared" si="19" ref="O53:O61">G53+I53+K53+M53+D53</f>
        <v>59</v>
      </c>
      <c r="P53" s="130">
        <f aca="true" t="shared" si="20" ref="P53:P91">N53+O53</f>
        <v>120</v>
      </c>
      <c r="Q53" s="211" t="s">
        <v>112</v>
      </c>
      <c r="R53" s="19"/>
      <c r="S53" s="135"/>
      <c r="T53" s="32"/>
      <c r="U53" s="32"/>
      <c r="V53" s="130"/>
      <c r="W53" s="235">
        <f t="shared" si="18"/>
        <v>0</v>
      </c>
      <c r="X53" s="235">
        <f t="shared" si="18"/>
        <v>0</v>
      </c>
      <c r="Y53" s="236">
        <f t="shared" si="13"/>
        <v>0</v>
      </c>
      <c r="AA53" s="134"/>
      <c r="AB53" s="134"/>
    </row>
    <row r="54" spans="1:28" s="165" customFormat="1" ht="21">
      <c r="A54" s="130" t="s">
        <v>515</v>
      </c>
      <c r="B54" s="168"/>
      <c r="C54" s="130">
        <f>39</f>
        <v>39</v>
      </c>
      <c r="D54" s="130">
        <f>26</f>
        <v>26</v>
      </c>
      <c r="E54" s="130">
        <f>C54+D54</f>
        <v>65</v>
      </c>
      <c r="F54" s="233">
        <v>0</v>
      </c>
      <c r="G54" s="233">
        <v>0</v>
      </c>
      <c r="H54" s="233">
        <v>0</v>
      </c>
      <c r="I54" s="233">
        <v>0</v>
      </c>
      <c r="J54" s="233">
        <v>0</v>
      </c>
      <c r="K54" s="233">
        <v>0</v>
      </c>
      <c r="L54" s="233">
        <v>0</v>
      </c>
      <c r="M54" s="233">
        <v>0</v>
      </c>
      <c r="N54" s="233">
        <f>F54+H54+J54+L54+C54</f>
        <v>39</v>
      </c>
      <c r="O54" s="233">
        <f>G54+I54+K54+M54+D54</f>
        <v>26</v>
      </c>
      <c r="P54" s="130">
        <f>N54+O54</f>
        <v>65</v>
      </c>
      <c r="Q54" s="211" t="s">
        <v>112</v>
      </c>
      <c r="R54" s="19"/>
      <c r="S54" s="135"/>
      <c r="T54" s="32"/>
      <c r="U54" s="32"/>
      <c r="V54" s="130"/>
      <c r="W54" s="235">
        <f t="shared" si="18"/>
        <v>0</v>
      </c>
      <c r="X54" s="235">
        <f t="shared" si="18"/>
        <v>0</v>
      </c>
      <c r="Y54" s="236">
        <f t="shared" si="13"/>
        <v>0</v>
      </c>
      <c r="AA54" s="134"/>
      <c r="AB54" s="134"/>
    </row>
    <row r="55" spans="1:28" s="165" customFormat="1" ht="42">
      <c r="A55" s="136" t="s">
        <v>516</v>
      </c>
      <c r="B55" s="168"/>
      <c r="C55" s="130">
        <f>158</f>
        <v>158</v>
      </c>
      <c r="D55" s="130">
        <f>158+11+9</f>
        <v>178</v>
      </c>
      <c r="E55" s="130">
        <f>C55+D55</f>
        <v>336</v>
      </c>
      <c r="F55" s="233">
        <v>0</v>
      </c>
      <c r="G55" s="233">
        <v>0</v>
      </c>
      <c r="H55" s="233">
        <v>0</v>
      </c>
      <c r="I55" s="233">
        <v>0</v>
      </c>
      <c r="J55" s="233">
        <v>0</v>
      </c>
      <c r="K55" s="233">
        <v>0</v>
      </c>
      <c r="L55" s="233">
        <v>0</v>
      </c>
      <c r="M55" s="233">
        <v>0</v>
      </c>
      <c r="N55" s="233">
        <f aca="true" t="shared" si="21" ref="N55:N60">F55+H55+J55+L55+C55</f>
        <v>158</v>
      </c>
      <c r="O55" s="233">
        <f t="shared" si="19"/>
        <v>178</v>
      </c>
      <c r="P55" s="130">
        <f t="shared" si="20"/>
        <v>336</v>
      </c>
      <c r="Q55" s="211" t="s">
        <v>112</v>
      </c>
      <c r="R55" s="19"/>
      <c r="S55" s="135"/>
      <c r="T55" s="32"/>
      <c r="U55" s="32"/>
      <c r="V55" s="130"/>
      <c r="W55" s="235">
        <f t="shared" si="18"/>
        <v>0</v>
      </c>
      <c r="X55" s="235">
        <f t="shared" si="18"/>
        <v>0</v>
      </c>
      <c r="Y55" s="236">
        <f t="shared" si="13"/>
        <v>0</v>
      </c>
      <c r="AA55" s="134"/>
      <c r="AB55" s="134"/>
    </row>
    <row r="56" spans="1:28" s="165" customFormat="1" ht="42">
      <c r="A56" s="136" t="s">
        <v>517</v>
      </c>
      <c r="B56" s="168"/>
      <c r="C56" s="130">
        <f>111+65</f>
        <v>176</v>
      </c>
      <c r="D56" s="130">
        <f>105+70</f>
        <v>175</v>
      </c>
      <c r="E56" s="130">
        <f t="shared" si="16"/>
        <v>351</v>
      </c>
      <c r="F56" s="233">
        <v>0</v>
      </c>
      <c r="G56" s="233">
        <v>0</v>
      </c>
      <c r="H56" s="233">
        <v>0</v>
      </c>
      <c r="I56" s="233">
        <v>0</v>
      </c>
      <c r="J56" s="233">
        <v>0</v>
      </c>
      <c r="K56" s="233">
        <v>0</v>
      </c>
      <c r="L56" s="233">
        <v>0</v>
      </c>
      <c r="M56" s="233">
        <v>0</v>
      </c>
      <c r="N56" s="233">
        <f t="shared" si="21"/>
        <v>176</v>
      </c>
      <c r="O56" s="233">
        <f t="shared" si="19"/>
        <v>175</v>
      </c>
      <c r="P56" s="130">
        <f t="shared" si="20"/>
        <v>351</v>
      </c>
      <c r="Q56" s="211" t="s">
        <v>112</v>
      </c>
      <c r="R56" s="19"/>
      <c r="S56" s="135"/>
      <c r="T56" s="32"/>
      <c r="U56" s="32"/>
      <c r="V56" s="130"/>
      <c r="W56" s="235">
        <f t="shared" si="18"/>
        <v>0</v>
      </c>
      <c r="X56" s="235">
        <f t="shared" si="18"/>
        <v>0</v>
      </c>
      <c r="Y56" s="236">
        <f t="shared" si="13"/>
        <v>0</v>
      </c>
      <c r="AA56" s="134"/>
      <c r="AB56" s="134"/>
    </row>
    <row r="57" spans="1:28" s="165" customFormat="1" ht="42">
      <c r="A57" s="136" t="s">
        <v>518</v>
      </c>
      <c r="B57" s="168"/>
      <c r="C57" s="130">
        <f>187+66+42</f>
        <v>295</v>
      </c>
      <c r="D57" s="130">
        <f>194+64+48</f>
        <v>306</v>
      </c>
      <c r="E57" s="130">
        <f>C57+D57</f>
        <v>601</v>
      </c>
      <c r="F57" s="233">
        <v>0</v>
      </c>
      <c r="G57" s="233">
        <v>0</v>
      </c>
      <c r="H57" s="233">
        <v>0</v>
      </c>
      <c r="I57" s="233">
        <v>0</v>
      </c>
      <c r="J57" s="233">
        <v>0</v>
      </c>
      <c r="K57" s="233">
        <v>0</v>
      </c>
      <c r="L57" s="233">
        <v>0</v>
      </c>
      <c r="M57" s="233">
        <v>0</v>
      </c>
      <c r="N57" s="233">
        <f t="shared" si="21"/>
        <v>295</v>
      </c>
      <c r="O57" s="233">
        <f t="shared" si="19"/>
        <v>306</v>
      </c>
      <c r="P57" s="130">
        <f t="shared" si="20"/>
        <v>601</v>
      </c>
      <c r="Q57" s="211" t="s">
        <v>112</v>
      </c>
      <c r="R57" s="19"/>
      <c r="S57" s="135"/>
      <c r="T57" s="32"/>
      <c r="U57" s="32"/>
      <c r="V57" s="130"/>
      <c r="W57" s="235">
        <f t="shared" si="18"/>
        <v>0</v>
      </c>
      <c r="X57" s="235">
        <f t="shared" si="18"/>
        <v>0</v>
      </c>
      <c r="Y57" s="236">
        <f t="shared" si="13"/>
        <v>0</v>
      </c>
      <c r="AA57" s="134"/>
      <c r="AB57" s="134"/>
    </row>
    <row r="58" spans="1:28" s="165" customFormat="1" ht="21">
      <c r="A58" s="130" t="s">
        <v>519</v>
      </c>
      <c r="B58" s="168"/>
      <c r="C58" s="130">
        <f>48+24+52+23</f>
        <v>147</v>
      </c>
      <c r="D58" s="130">
        <f>42+39+48+17</f>
        <v>146</v>
      </c>
      <c r="E58" s="130">
        <f t="shared" si="16"/>
        <v>293</v>
      </c>
      <c r="F58" s="233">
        <v>0</v>
      </c>
      <c r="G58" s="233">
        <v>0</v>
      </c>
      <c r="H58" s="233">
        <v>0</v>
      </c>
      <c r="I58" s="233">
        <v>0</v>
      </c>
      <c r="J58" s="233">
        <v>0</v>
      </c>
      <c r="K58" s="233">
        <v>0</v>
      </c>
      <c r="L58" s="233">
        <v>0</v>
      </c>
      <c r="M58" s="233">
        <v>0</v>
      </c>
      <c r="N58" s="233">
        <f t="shared" si="21"/>
        <v>147</v>
      </c>
      <c r="O58" s="233">
        <f t="shared" si="19"/>
        <v>146</v>
      </c>
      <c r="P58" s="130">
        <f t="shared" si="20"/>
        <v>293</v>
      </c>
      <c r="Q58" s="211" t="s">
        <v>112</v>
      </c>
      <c r="R58" s="19"/>
      <c r="S58" s="135"/>
      <c r="T58" s="32"/>
      <c r="U58" s="32"/>
      <c r="V58" s="130"/>
      <c r="W58" s="235">
        <f t="shared" si="18"/>
        <v>0</v>
      </c>
      <c r="X58" s="235">
        <f t="shared" si="18"/>
        <v>0</v>
      </c>
      <c r="Y58" s="236">
        <f t="shared" si="13"/>
        <v>0</v>
      </c>
      <c r="AA58" s="134"/>
      <c r="AB58" s="134"/>
    </row>
    <row r="59" spans="1:28" s="165" customFormat="1" ht="42">
      <c r="A59" s="136" t="s">
        <v>520</v>
      </c>
      <c r="B59" s="168"/>
      <c r="C59" s="130">
        <f>46+51+51+22</f>
        <v>170</v>
      </c>
      <c r="D59" s="130">
        <f>44+49+60+18</f>
        <v>171</v>
      </c>
      <c r="E59" s="130">
        <f t="shared" si="16"/>
        <v>341</v>
      </c>
      <c r="F59" s="233">
        <v>0</v>
      </c>
      <c r="G59" s="233">
        <v>0</v>
      </c>
      <c r="H59" s="233">
        <v>0</v>
      </c>
      <c r="I59" s="233">
        <v>0</v>
      </c>
      <c r="J59" s="233">
        <v>0</v>
      </c>
      <c r="K59" s="233">
        <v>0</v>
      </c>
      <c r="L59" s="233">
        <v>0</v>
      </c>
      <c r="M59" s="233">
        <v>0</v>
      </c>
      <c r="N59" s="233">
        <f t="shared" si="21"/>
        <v>170</v>
      </c>
      <c r="O59" s="233">
        <f t="shared" si="19"/>
        <v>171</v>
      </c>
      <c r="P59" s="130">
        <f t="shared" si="20"/>
        <v>341</v>
      </c>
      <c r="Q59" s="211" t="s">
        <v>112</v>
      </c>
      <c r="R59" s="19"/>
      <c r="S59" s="135"/>
      <c r="T59" s="32"/>
      <c r="U59" s="32"/>
      <c r="V59" s="130"/>
      <c r="W59" s="235">
        <f t="shared" si="18"/>
        <v>0</v>
      </c>
      <c r="X59" s="235">
        <f t="shared" si="18"/>
        <v>0</v>
      </c>
      <c r="Y59" s="236">
        <f t="shared" si="13"/>
        <v>0</v>
      </c>
      <c r="AA59" s="134"/>
      <c r="AB59" s="134"/>
    </row>
    <row r="60" spans="1:28" s="165" customFormat="1" ht="21">
      <c r="A60" s="130" t="s">
        <v>521</v>
      </c>
      <c r="B60" s="168"/>
      <c r="C60" s="130">
        <f>66+17+227</f>
        <v>310</v>
      </c>
      <c r="D60" s="130">
        <f>54+23+219</f>
        <v>296</v>
      </c>
      <c r="E60" s="130">
        <f t="shared" si="16"/>
        <v>606</v>
      </c>
      <c r="F60" s="233">
        <v>0</v>
      </c>
      <c r="G60" s="233">
        <v>0</v>
      </c>
      <c r="H60" s="233">
        <v>0</v>
      </c>
      <c r="I60" s="233">
        <v>0</v>
      </c>
      <c r="J60" s="233">
        <v>0</v>
      </c>
      <c r="K60" s="233">
        <v>0</v>
      </c>
      <c r="L60" s="233">
        <v>0</v>
      </c>
      <c r="M60" s="233">
        <v>0</v>
      </c>
      <c r="N60" s="233">
        <f t="shared" si="21"/>
        <v>310</v>
      </c>
      <c r="O60" s="233">
        <f t="shared" si="19"/>
        <v>296</v>
      </c>
      <c r="P60" s="130">
        <f t="shared" si="20"/>
        <v>606</v>
      </c>
      <c r="Q60" s="211" t="s">
        <v>112</v>
      </c>
      <c r="R60" s="19"/>
      <c r="S60" s="135"/>
      <c r="T60" s="32"/>
      <c r="U60" s="32"/>
      <c r="V60" s="130"/>
      <c r="W60" s="235">
        <f t="shared" si="18"/>
        <v>0</v>
      </c>
      <c r="X60" s="235">
        <f t="shared" si="18"/>
        <v>0</v>
      </c>
      <c r="Y60" s="236">
        <f t="shared" si="13"/>
        <v>0</v>
      </c>
      <c r="AA60" s="134"/>
      <c r="AB60" s="134"/>
    </row>
    <row r="61" spans="1:28" s="165" customFormat="1" ht="21">
      <c r="A61" s="130" t="s">
        <v>522</v>
      </c>
      <c r="B61" s="168"/>
      <c r="C61" s="130">
        <f>311+27</f>
        <v>338</v>
      </c>
      <c r="D61" s="130">
        <f>353+23</f>
        <v>376</v>
      </c>
      <c r="E61" s="130">
        <f t="shared" si="16"/>
        <v>714</v>
      </c>
      <c r="F61" s="233">
        <v>0</v>
      </c>
      <c r="G61" s="233">
        <v>0</v>
      </c>
      <c r="H61" s="233">
        <v>0</v>
      </c>
      <c r="I61" s="233">
        <v>0</v>
      </c>
      <c r="J61" s="233">
        <v>0</v>
      </c>
      <c r="K61" s="233">
        <v>0</v>
      </c>
      <c r="L61" s="233">
        <v>0</v>
      </c>
      <c r="M61" s="233">
        <v>0</v>
      </c>
      <c r="N61" s="233">
        <f>F61+H61+J61+L61+C61</f>
        <v>338</v>
      </c>
      <c r="O61" s="233">
        <f t="shared" si="19"/>
        <v>376</v>
      </c>
      <c r="P61" s="130">
        <f t="shared" si="20"/>
        <v>714</v>
      </c>
      <c r="Q61" s="211" t="s">
        <v>112</v>
      </c>
      <c r="R61" s="19"/>
      <c r="S61" s="135"/>
      <c r="T61" s="32"/>
      <c r="U61" s="32"/>
      <c r="V61" s="130"/>
      <c r="W61" s="235">
        <f t="shared" si="18"/>
        <v>0</v>
      </c>
      <c r="X61" s="235">
        <f t="shared" si="18"/>
        <v>0</v>
      </c>
      <c r="Y61" s="236">
        <f t="shared" si="13"/>
        <v>0</v>
      </c>
      <c r="AA61" s="134"/>
      <c r="AB61" s="134"/>
    </row>
    <row r="62" spans="1:25" ht="84">
      <c r="A62" s="245" t="s">
        <v>523</v>
      </c>
      <c r="B62" s="246"/>
      <c r="C62" s="247"/>
      <c r="D62" s="247"/>
      <c r="E62" s="247">
        <f t="shared" si="16"/>
        <v>0</v>
      </c>
      <c r="F62" s="247"/>
      <c r="G62" s="247"/>
      <c r="H62" s="247"/>
      <c r="I62" s="247"/>
      <c r="J62" s="247"/>
      <c r="K62" s="247"/>
      <c r="L62" s="247"/>
      <c r="M62" s="247"/>
      <c r="N62" s="247">
        <f aca="true" t="shared" si="22" ref="N62:O65">F62+H62+J62+L62</f>
        <v>0</v>
      </c>
      <c r="O62" s="247">
        <f t="shared" si="22"/>
        <v>0</v>
      </c>
      <c r="P62" s="247">
        <f t="shared" si="20"/>
        <v>0</v>
      </c>
      <c r="Q62" s="259" t="s">
        <v>112</v>
      </c>
      <c r="R62" s="248"/>
      <c r="S62" s="249"/>
      <c r="T62" s="250"/>
      <c r="U62" s="250"/>
      <c r="V62" s="247"/>
      <c r="W62" s="235">
        <f t="shared" si="18"/>
        <v>0</v>
      </c>
      <c r="X62" s="235">
        <f t="shared" si="18"/>
        <v>0</v>
      </c>
      <c r="Y62" s="236">
        <f t="shared" si="13"/>
        <v>0</v>
      </c>
    </row>
    <row r="63" spans="1:28" s="165" customFormat="1" ht="21">
      <c r="A63" s="168" t="s">
        <v>78</v>
      </c>
      <c r="B63" s="168"/>
      <c r="C63" s="130"/>
      <c r="D63" s="130"/>
      <c r="E63" s="130">
        <f t="shared" si="16"/>
        <v>0</v>
      </c>
      <c r="F63" s="130"/>
      <c r="G63" s="130"/>
      <c r="H63" s="130"/>
      <c r="I63" s="130"/>
      <c r="J63" s="130"/>
      <c r="K63" s="130"/>
      <c r="L63" s="130"/>
      <c r="M63" s="130"/>
      <c r="N63" s="130">
        <f t="shared" si="22"/>
        <v>0</v>
      </c>
      <c r="O63" s="130">
        <f t="shared" si="22"/>
        <v>0</v>
      </c>
      <c r="P63" s="130">
        <f t="shared" si="20"/>
        <v>0</v>
      </c>
      <c r="Q63" s="211" t="s">
        <v>112</v>
      </c>
      <c r="R63" s="19"/>
      <c r="S63" s="135"/>
      <c r="T63" s="32"/>
      <c r="U63" s="32"/>
      <c r="V63" s="130"/>
      <c r="W63" s="235">
        <f t="shared" si="18"/>
        <v>0</v>
      </c>
      <c r="X63" s="235">
        <f t="shared" si="18"/>
        <v>0</v>
      </c>
      <c r="Y63" s="236">
        <f t="shared" si="13"/>
        <v>0</v>
      </c>
      <c r="AA63" s="134"/>
      <c r="AB63" s="134"/>
    </row>
    <row r="64" spans="1:28" s="165" customFormat="1" ht="21">
      <c r="A64" s="168" t="s">
        <v>348</v>
      </c>
      <c r="B64" s="168"/>
      <c r="C64" s="130"/>
      <c r="D64" s="130"/>
      <c r="E64" s="130">
        <f t="shared" si="16"/>
        <v>0</v>
      </c>
      <c r="F64" s="130"/>
      <c r="G64" s="130"/>
      <c r="H64" s="130"/>
      <c r="I64" s="130"/>
      <c r="J64" s="130"/>
      <c r="K64" s="130"/>
      <c r="L64" s="130"/>
      <c r="M64" s="130"/>
      <c r="N64" s="130">
        <f t="shared" si="22"/>
        <v>0</v>
      </c>
      <c r="O64" s="130">
        <f t="shared" si="22"/>
        <v>0</v>
      </c>
      <c r="P64" s="130">
        <f t="shared" si="20"/>
        <v>0</v>
      </c>
      <c r="Q64" s="211" t="s">
        <v>112</v>
      </c>
      <c r="R64" s="19">
        <f>250160-28959+278620</f>
        <v>499821</v>
      </c>
      <c r="S64" s="135">
        <v>221201</v>
      </c>
      <c r="T64" s="32">
        <v>0</v>
      </c>
      <c r="U64" s="237">
        <f>S64+T64</f>
        <v>221201</v>
      </c>
      <c r="V64" s="234">
        <f>U64*100/R64</f>
        <v>44.25604366363158</v>
      </c>
      <c r="W64" s="235">
        <f t="shared" si="18"/>
        <v>0</v>
      </c>
      <c r="X64" s="235">
        <f t="shared" si="18"/>
        <v>0</v>
      </c>
      <c r="Y64" s="236">
        <f t="shared" si="13"/>
        <v>0</v>
      </c>
      <c r="AA64" s="134" t="s">
        <v>524</v>
      </c>
      <c r="AB64" s="134"/>
    </row>
    <row r="65" spans="1:28" s="165" customFormat="1" ht="21">
      <c r="A65" s="168" t="s">
        <v>349</v>
      </c>
      <c r="B65" s="168">
        <v>1226</v>
      </c>
      <c r="C65" s="130"/>
      <c r="D65" s="130"/>
      <c r="E65" s="130">
        <f t="shared" si="16"/>
        <v>0</v>
      </c>
      <c r="F65" s="130"/>
      <c r="G65" s="130"/>
      <c r="H65" s="130"/>
      <c r="I65" s="130"/>
      <c r="J65" s="130"/>
      <c r="K65" s="130"/>
      <c r="L65" s="130"/>
      <c r="M65" s="130"/>
      <c r="N65" s="130">
        <f t="shared" si="22"/>
        <v>0</v>
      </c>
      <c r="O65" s="130">
        <f t="shared" si="22"/>
        <v>0</v>
      </c>
      <c r="P65" s="130">
        <f t="shared" si="20"/>
        <v>0</v>
      </c>
      <c r="Q65" s="211" t="s">
        <v>112</v>
      </c>
      <c r="R65" s="19">
        <f>312020+348360</f>
        <v>660380</v>
      </c>
      <c r="S65" s="135">
        <f>88723+95266+3600+119842.84</f>
        <v>307431.83999999997</v>
      </c>
      <c r="T65" s="237">
        <v>1360</v>
      </c>
      <c r="U65" s="237">
        <f>S65+T65</f>
        <v>308791.83999999997</v>
      </c>
      <c r="V65" s="234">
        <f>U65*100/R65</f>
        <v>46.75972016111935</v>
      </c>
      <c r="W65" s="235">
        <f t="shared" si="18"/>
        <v>0</v>
      </c>
      <c r="X65" s="235">
        <f t="shared" si="18"/>
        <v>0</v>
      </c>
      <c r="Y65" s="236">
        <f t="shared" si="13"/>
        <v>0</v>
      </c>
      <c r="AA65" s="134">
        <v>269488</v>
      </c>
      <c r="AB65" s="134">
        <v>145413.81</v>
      </c>
    </row>
    <row r="66" spans="1:25" ht="21">
      <c r="A66" s="145" t="s">
        <v>525</v>
      </c>
      <c r="B66" s="185">
        <v>0</v>
      </c>
      <c r="C66" s="149">
        <f>135+40</f>
        <v>175</v>
      </c>
      <c r="D66" s="149">
        <f>138+43+10</f>
        <v>191</v>
      </c>
      <c r="E66" s="130">
        <f t="shared" si="16"/>
        <v>366</v>
      </c>
      <c r="F66" s="233">
        <v>0</v>
      </c>
      <c r="G66" s="233">
        <v>0</v>
      </c>
      <c r="H66" s="233">
        <v>0</v>
      </c>
      <c r="I66" s="233">
        <v>0</v>
      </c>
      <c r="J66" s="233">
        <v>0</v>
      </c>
      <c r="K66" s="233">
        <v>0</v>
      </c>
      <c r="L66" s="233">
        <v>0</v>
      </c>
      <c r="M66" s="233">
        <v>0</v>
      </c>
      <c r="N66" s="233">
        <f>F66+H66+J66+L66+C66</f>
        <v>175</v>
      </c>
      <c r="O66" s="233">
        <f>G66+I66+K66+M66+D66</f>
        <v>191</v>
      </c>
      <c r="P66" s="130">
        <f t="shared" si="20"/>
        <v>366</v>
      </c>
      <c r="Q66" s="211" t="s">
        <v>112</v>
      </c>
      <c r="R66" s="47">
        <v>0</v>
      </c>
      <c r="S66" s="274"/>
      <c r="T66" s="51"/>
      <c r="U66" s="51"/>
      <c r="V66" s="149"/>
      <c r="W66" s="235">
        <f t="shared" si="18"/>
        <v>0</v>
      </c>
      <c r="X66" s="235">
        <f t="shared" si="18"/>
        <v>0</v>
      </c>
      <c r="Y66" s="236">
        <f t="shared" si="13"/>
        <v>0</v>
      </c>
    </row>
    <row r="67" spans="1:28" ht="21">
      <c r="A67" s="145" t="s">
        <v>526</v>
      </c>
      <c r="B67" s="185">
        <v>0</v>
      </c>
      <c r="C67" s="149">
        <f>60+303</f>
        <v>363</v>
      </c>
      <c r="D67" s="149">
        <f>59+224</f>
        <v>283</v>
      </c>
      <c r="E67" s="130">
        <f t="shared" si="16"/>
        <v>646</v>
      </c>
      <c r="F67" s="233">
        <v>0</v>
      </c>
      <c r="G67" s="233">
        <v>0</v>
      </c>
      <c r="H67" s="233">
        <v>0</v>
      </c>
      <c r="I67" s="233">
        <v>0</v>
      </c>
      <c r="J67" s="233">
        <v>0</v>
      </c>
      <c r="K67" s="233">
        <v>0</v>
      </c>
      <c r="L67" s="233">
        <v>0</v>
      </c>
      <c r="M67" s="233">
        <v>0</v>
      </c>
      <c r="N67" s="130">
        <f>F67+H67+J67+L67</f>
        <v>0</v>
      </c>
      <c r="O67" s="130">
        <f>G67+I67+K67+M67</f>
        <v>0</v>
      </c>
      <c r="P67" s="130">
        <f t="shared" si="20"/>
        <v>0</v>
      </c>
      <c r="Q67" s="211" t="s">
        <v>112</v>
      </c>
      <c r="R67" s="47">
        <v>0</v>
      </c>
      <c r="S67" s="274"/>
      <c r="T67" s="51"/>
      <c r="U67" s="51"/>
      <c r="V67" s="149"/>
      <c r="W67" s="235">
        <f t="shared" si="18"/>
        <v>0</v>
      </c>
      <c r="X67" s="235">
        <f t="shared" si="18"/>
        <v>0</v>
      </c>
      <c r="Y67" s="236">
        <f t="shared" si="13"/>
        <v>0</v>
      </c>
      <c r="AB67" s="275">
        <f>AB65-S65</f>
        <v>-162018.02999999997</v>
      </c>
    </row>
    <row r="68" spans="1:25" ht="21">
      <c r="A68" s="145" t="s">
        <v>527</v>
      </c>
      <c r="B68" s="185">
        <v>0</v>
      </c>
      <c r="C68" s="149">
        <f>128+98+197+74</f>
        <v>497</v>
      </c>
      <c r="D68" s="149">
        <f>100+81+159+46</f>
        <v>386</v>
      </c>
      <c r="E68" s="130">
        <f t="shared" si="16"/>
        <v>883</v>
      </c>
      <c r="F68" s="233">
        <v>0</v>
      </c>
      <c r="G68" s="233">
        <v>0</v>
      </c>
      <c r="H68" s="233">
        <v>0</v>
      </c>
      <c r="I68" s="233">
        <v>0</v>
      </c>
      <c r="J68" s="233">
        <v>0</v>
      </c>
      <c r="K68" s="233">
        <v>0</v>
      </c>
      <c r="L68" s="233">
        <v>0</v>
      </c>
      <c r="M68" s="233">
        <v>0</v>
      </c>
      <c r="N68" s="233">
        <f aca="true" t="shared" si="23" ref="N68:O72">F68+H68+J68+L68+C68</f>
        <v>497</v>
      </c>
      <c r="O68" s="233">
        <f t="shared" si="23"/>
        <v>386</v>
      </c>
      <c r="P68" s="130">
        <f t="shared" si="20"/>
        <v>883</v>
      </c>
      <c r="Q68" s="211" t="s">
        <v>112</v>
      </c>
      <c r="R68" s="47">
        <v>0</v>
      </c>
      <c r="S68" s="274"/>
      <c r="T68" s="51"/>
      <c r="U68" s="51"/>
      <c r="V68" s="149"/>
      <c r="W68" s="235">
        <f aca="true" t="shared" si="24" ref="W68:X83">F68+H68+J68+L68</f>
        <v>0</v>
      </c>
      <c r="X68" s="235">
        <f t="shared" si="24"/>
        <v>0</v>
      </c>
      <c r="Y68" s="236">
        <f t="shared" si="13"/>
        <v>0</v>
      </c>
    </row>
    <row r="69" spans="1:25" ht="21">
      <c r="A69" s="145" t="s">
        <v>528</v>
      </c>
      <c r="B69" s="185">
        <v>0</v>
      </c>
      <c r="C69" s="149">
        <f>98+207</f>
        <v>305</v>
      </c>
      <c r="D69" s="149">
        <f>81+179</f>
        <v>260</v>
      </c>
      <c r="E69" s="130">
        <f t="shared" si="16"/>
        <v>565</v>
      </c>
      <c r="F69" s="233">
        <v>0</v>
      </c>
      <c r="G69" s="233">
        <v>0</v>
      </c>
      <c r="H69" s="233">
        <v>0</v>
      </c>
      <c r="I69" s="233">
        <v>0</v>
      </c>
      <c r="J69" s="233">
        <v>0</v>
      </c>
      <c r="K69" s="233">
        <v>0</v>
      </c>
      <c r="L69" s="233">
        <v>0</v>
      </c>
      <c r="M69" s="233">
        <v>0</v>
      </c>
      <c r="N69" s="233">
        <f t="shared" si="23"/>
        <v>305</v>
      </c>
      <c r="O69" s="233">
        <f t="shared" si="23"/>
        <v>260</v>
      </c>
      <c r="P69" s="130">
        <f t="shared" si="20"/>
        <v>565</v>
      </c>
      <c r="Q69" s="211" t="s">
        <v>112</v>
      </c>
      <c r="R69" s="47">
        <v>0</v>
      </c>
      <c r="S69" s="274"/>
      <c r="T69" s="51"/>
      <c r="U69" s="51"/>
      <c r="V69" s="149"/>
      <c r="W69" s="235">
        <f t="shared" si="24"/>
        <v>0</v>
      </c>
      <c r="X69" s="235">
        <f t="shared" si="24"/>
        <v>0</v>
      </c>
      <c r="Y69" s="236">
        <f t="shared" si="13"/>
        <v>0</v>
      </c>
    </row>
    <row r="70" spans="1:25" ht="21">
      <c r="A70" s="145" t="s">
        <v>529</v>
      </c>
      <c r="B70" s="185">
        <v>0</v>
      </c>
      <c r="C70" s="149">
        <f>54</f>
        <v>54</v>
      </c>
      <c r="D70" s="149">
        <f>30</f>
        <v>30</v>
      </c>
      <c r="E70" s="130">
        <f>C70+D70</f>
        <v>84</v>
      </c>
      <c r="F70" s="233">
        <v>0</v>
      </c>
      <c r="G70" s="233">
        <v>0</v>
      </c>
      <c r="H70" s="233">
        <v>0</v>
      </c>
      <c r="I70" s="233">
        <v>0</v>
      </c>
      <c r="J70" s="233">
        <v>0</v>
      </c>
      <c r="K70" s="233">
        <v>0</v>
      </c>
      <c r="L70" s="233">
        <v>0</v>
      </c>
      <c r="M70" s="233">
        <v>0</v>
      </c>
      <c r="N70" s="233">
        <f t="shared" si="23"/>
        <v>54</v>
      </c>
      <c r="O70" s="233">
        <f t="shared" si="23"/>
        <v>30</v>
      </c>
      <c r="P70" s="130">
        <f t="shared" si="20"/>
        <v>84</v>
      </c>
      <c r="Q70" s="211" t="s">
        <v>112</v>
      </c>
      <c r="R70" s="47">
        <v>0</v>
      </c>
      <c r="S70" s="274"/>
      <c r="T70" s="51"/>
      <c r="U70" s="51"/>
      <c r="V70" s="149"/>
      <c r="W70" s="235">
        <f>F70+H70+J70+L70</f>
        <v>0</v>
      </c>
      <c r="X70" s="235">
        <f>G70+I70+K70+M70</f>
        <v>0</v>
      </c>
      <c r="Y70" s="236">
        <f>W70+X70</f>
        <v>0</v>
      </c>
    </row>
    <row r="71" spans="1:25" ht="21">
      <c r="A71" s="145" t="s">
        <v>530</v>
      </c>
      <c r="B71" s="185">
        <v>0</v>
      </c>
      <c r="C71" s="149">
        <f>43</f>
        <v>43</v>
      </c>
      <c r="D71" s="149">
        <f>47</f>
        <v>47</v>
      </c>
      <c r="E71" s="130">
        <f>C71+D71</f>
        <v>90</v>
      </c>
      <c r="F71" s="233">
        <v>0</v>
      </c>
      <c r="G71" s="233">
        <v>0</v>
      </c>
      <c r="H71" s="233">
        <v>0</v>
      </c>
      <c r="I71" s="233">
        <v>0</v>
      </c>
      <c r="J71" s="233">
        <v>0</v>
      </c>
      <c r="K71" s="233">
        <v>0</v>
      </c>
      <c r="L71" s="233">
        <v>0</v>
      </c>
      <c r="M71" s="233">
        <v>0</v>
      </c>
      <c r="N71" s="233">
        <f>F71+H71+J71+L71+C71</f>
        <v>43</v>
      </c>
      <c r="O71" s="233">
        <f>G71+I71+K71+M71+D71</f>
        <v>47</v>
      </c>
      <c r="P71" s="130">
        <f t="shared" si="20"/>
        <v>90</v>
      </c>
      <c r="Q71" s="211" t="s">
        <v>112</v>
      </c>
      <c r="R71" s="47">
        <v>0</v>
      </c>
      <c r="S71" s="274"/>
      <c r="T71" s="51"/>
      <c r="U71" s="51"/>
      <c r="V71" s="149"/>
      <c r="W71" s="235">
        <f>F71+H71+J71+L71</f>
        <v>0</v>
      </c>
      <c r="X71" s="235">
        <f>G71+I71+K71+M71</f>
        <v>0</v>
      </c>
      <c r="Y71" s="236">
        <f>W71+X71</f>
        <v>0</v>
      </c>
    </row>
    <row r="72" spans="1:25" ht="21">
      <c r="A72" s="145" t="s">
        <v>531</v>
      </c>
      <c r="B72" s="185">
        <v>0</v>
      </c>
      <c r="C72" s="149">
        <f>27</f>
        <v>27</v>
      </c>
      <c r="D72" s="149">
        <f>7</f>
        <v>7</v>
      </c>
      <c r="E72" s="130">
        <f>C72+D72</f>
        <v>34</v>
      </c>
      <c r="F72" s="233">
        <v>0</v>
      </c>
      <c r="G72" s="233">
        <v>0</v>
      </c>
      <c r="H72" s="233">
        <v>0</v>
      </c>
      <c r="I72" s="233">
        <v>0</v>
      </c>
      <c r="J72" s="233">
        <v>0</v>
      </c>
      <c r="K72" s="233">
        <v>0</v>
      </c>
      <c r="L72" s="233">
        <v>0</v>
      </c>
      <c r="M72" s="233">
        <v>0</v>
      </c>
      <c r="N72" s="233">
        <f t="shared" si="23"/>
        <v>27</v>
      </c>
      <c r="O72" s="233">
        <f t="shared" si="23"/>
        <v>7</v>
      </c>
      <c r="P72" s="130">
        <f t="shared" si="20"/>
        <v>34</v>
      </c>
      <c r="Q72" s="211" t="s">
        <v>112</v>
      </c>
      <c r="R72" s="47">
        <v>0</v>
      </c>
      <c r="S72" s="274"/>
      <c r="T72" s="51"/>
      <c r="U72" s="51"/>
      <c r="V72" s="149"/>
      <c r="W72" s="235">
        <f t="shared" si="24"/>
        <v>0</v>
      </c>
      <c r="X72" s="235">
        <f t="shared" si="24"/>
        <v>0</v>
      </c>
      <c r="Y72" s="236">
        <f t="shared" si="13"/>
        <v>0</v>
      </c>
    </row>
    <row r="73" spans="1:25" ht="21">
      <c r="A73" s="145" t="s">
        <v>532</v>
      </c>
      <c r="B73" s="185">
        <v>0</v>
      </c>
      <c r="C73" s="149"/>
      <c r="D73" s="149"/>
      <c r="E73" s="130">
        <f>C73+D73</f>
        <v>0</v>
      </c>
      <c r="F73" s="233">
        <v>0</v>
      </c>
      <c r="G73" s="233">
        <v>0</v>
      </c>
      <c r="H73" s="233">
        <v>0</v>
      </c>
      <c r="I73" s="233">
        <v>0</v>
      </c>
      <c r="J73" s="233">
        <v>0</v>
      </c>
      <c r="K73" s="233">
        <v>0</v>
      </c>
      <c r="L73" s="233">
        <v>0</v>
      </c>
      <c r="M73" s="233">
        <v>0</v>
      </c>
      <c r="N73" s="130">
        <f aca="true" t="shared" si="25" ref="N73:O75">F73+H73+J73+L73</f>
        <v>0</v>
      </c>
      <c r="O73" s="130">
        <f t="shared" si="25"/>
        <v>0</v>
      </c>
      <c r="P73" s="130">
        <f t="shared" si="20"/>
        <v>0</v>
      </c>
      <c r="Q73" s="211" t="s">
        <v>112</v>
      </c>
      <c r="R73" s="47">
        <v>0</v>
      </c>
      <c r="S73" s="274"/>
      <c r="T73" s="51"/>
      <c r="U73" s="51"/>
      <c r="V73" s="149"/>
      <c r="W73" s="235">
        <f t="shared" si="24"/>
        <v>0</v>
      </c>
      <c r="X73" s="235">
        <f t="shared" si="24"/>
        <v>0</v>
      </c>
      <c r="Y73" s="236">
        <f t="shared" si="13"/>
        <v>0</v>
      </c>
    </row>
    <row r="74" spans="1:30" ht="42">
      <c r="A74" s="145" t="s">
        <v>533</v>
      </c>
      <c r="B74" s="185">
        <v>18</v>
      </c>
      <c r="C74" s="149"/>
      <c r="D74" s="149"/>
      <c r="E74" s="130">
        <f>C74+D74</f>
        <v>0</v>
      </c>
      <c r="F74" s="233">
        <v>0</v>
      </c>
      <c r="G74" s="233">
        <v>0</v>
      </c>
      <c r="H74" s="233">
        <v>0</v>
      </c>
      <c r="I74" s="233">
        <v>0</v>
      </c>
      <c r="J74" s="233">
        <v>0</v>
      </c>
      <c r="K74" s="233">
        <v>0</v>
      </c>
      <c r="L74" s="233">
        <v>0</v>
      </c>
      <c r="M74" s="233">
        <v>0</v>
      </c>
      <c r="N74" s="130">
        <f t="shared" si="25"/>
        <v>0</v>
      </c>
      <c r="O74" s="130">
        <f t="shared" si="25"/>
        <v>0</v>
      </c>
      <c r="P74" s="130">
        <f t="shared" si="20"/>
        <v>0</v>
      </c>
      <c r="Q74" s="211" t="s">
        <v>112</v>
      </c>
      <c r="R74" s="47">
        <v>0</v>
      </c>
      <c r="S74" s="274"/>
      <c r="T74" s="51"/>
      <c r="U74" s="51"/>
      <c r="V74" s="149"/>
      <c r="W74" s="235">
        <f>F74+H74+J74+L74</f>
        <v>0</v>
      </c>
      <c r="X74" s="235">
        <f>G74+I74+K74+M74</f>
        <v>0</v>
      </c>
      <c r="Y74" s="236">
        <f>W74+X74</f>
        <v>0</v>
      </c>
      <c r="AA74" s="225" t="s">
        <v>534</v>
      </c>
      <c r="AB74" s="225" t="s">
        <v>488</v>
      </c>
      <c r="AC74" s="122" t="s">
        <v>535</v>
      </c>
      <c r="AD74" s="122" t="s">
        <v>488</v>
      </c>
    </row>
    <row r="75" spans="1:30" ht="42">
      <c r="A75" s="145" t="s">
        <v>536</v>
      </c>
      <c r="B75" s="185">
        <v>0</v>
      </c>
      <c r="C75" s="149"/>
      <c r="D75" s="149"/>
      <c r="E75" s="130">
        <f t="shared" si="16"/>
        <v>0</v>
      </c>
      <c r="F75" s="233">
        <v>1</v>
      </c>
      <c r="G75" s="233">
        <v>0</v>
      </c>
      <c r="H75" s="233">
        <v>37</v>
      </c>
      <c r="I75" s="233">
        <v>51</v>
      </c>
      <c r="J75" s="233">
        <v>2</v>
      </c>
      <c r="K75" s="233">
        <v>2</v>
      </c>
      <c r="L75" s="233">
        <v>0</v>
      </c>
      <c r="M75" s="233">
        <v>0</v>
      </c>
      <c r="N75" s="130">
        <f t="shared" si="25"/>
        <v>40</v>
      </c>
      <c r="O75" s="130">
        <f t="shared" si="25"/>
        <v>53</v>
      </c>
      <c r="P75" s="130">
        <f t="shared" si="20"/>
        <v>93</v>
      </c>
      <c r="Q75" s="211" t="s">
        <v>112</v>
      </c>
      <c r="R75" s="47">
        <v>0</v>
      </c>
      <c r="S75" s="274"/>
      <c r="T75" s="51"/>
      <c r="U75" s="51"/>
      <c r="V75" s="149"/>
      <c r="W75" s="235">
        <f t="shared" si="24"/>
        <v>40</v>
      </c>
      <c r="X75" s="235">
        <f t="shared" si="24"/>
        <v>53</v>
      </c>
      <c r="Y75" s="236">
        <f t="shared" si="13"/>
        <v>93</v>
      </c>
      <c r="AA75" s="225" t="s">
        <v>534</v>
      </c>
      <c r="AB75" s="225" t="s">
        <v>488</v>
      </c>
      <c r="AC75" s="122" t="s">
        <v>535</v>
      </c>
      <c r="AD75" s="122" t="s">
        <v>488</v>
      </c>
    </row>
    <row r="76" spans="1:30" s="165" customFormat="1" ht="21">
      <c r="A76" s="168" t="s">
        <v>353</v>
      </c>
      <c r="B76" s="276">
        <v>2000</v>
      </c>
      <c r="C76" s="168">
        <v>0</v>
      </c>
      <c r="D76" s="168">
        <v>0</v>
      </c>
      <c r="E76" s="130">
        <f t="shared" si="16"/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8">
        <v>0</v>
      </c>
      <c r="N76" s="168">
        <f>C76+F76+H76+J76+L76</f>
        <v>0</v>
      </c>
      <c r="O76" s="168">
        <f>D76+G76+I76+K76+M76</f>
        <v>0</v>
      </c>
      <c r="P76" s="168">
        <f t="shared" si="20"/>
        <v>0</v>
      </c>
      <c r="Q76" s="277">
        <f>P76*100/B76</f>
        <v>0</v>
      </c>
      <c r="R76" s="278">
        <f>(867798+8560+1037892+30000)+(195000+195000)</f>
        <v>2334250</v>
      </c>
      <c r="S76" s="279">
        <f>346100.11+123785+268017+136887.04</f>
        <v>874789.15</v>
      </c>
      <c r="T76" s="280">
        <v>238668.37</v>
      </c>
      <c r="U76" s="280">
        <f>S76+T76</f>
        <v>1113457.52</v>
      </c>
      <c r="V76" s="281">
        <f>U76*100/R76</f>
        <v>47.70086837313912</v>
      </c>
      <c r="W76" s="235">
        <f t="shared" si="24"/>
        <v>0</v>
      </c>
      <c r="X76" s="235">
        <f t="shared" si="24"/>
        <v>0</v>
      </c>
      <c r="Y76" s="236">
        <f t="shared" si="13"/>
        <v>0</v>
      </c>
      <c r="Z76" s="165" t="s">
        <v>537</v>
      </c>
      <c r="AA76" s="134">
        <v>867798</v>
      </c>
      <c r="AB76" s="134">
        <v>868916.9</v>
      </c>
      <c r="AC76" s="165">
        <v>390000</v>
      </c>
      <c r="AD76" s="165">
        <v>237580.62</v>
      </c>
    </row>
    <row r="77" spans="1:30" s="272" customFormat="1" ht="21">
      <c r="A77" s="266" t="s">
        <v>86</v>
      </c>
      <c r="B77" s="282"/>
      <c r="C77" s="266">
        <f>C78+C79</f>
        <v>19</v>
      </c>
      <c r="D77" s="266">
        <f>D78+D79</f>
        <v>25</v>
      </c>
      <c r="E77" s="266">
        <f t="shared" si="16"/>
        <v>44</v>
      </c>
      <c r="F77" s="283">
        <f>F78+F79</f>
        <v>0</v>
      </c>
      <c r="G77" s="283">
        <f aca="true" t="shared" si="26" ref="G77:M77">G78+G79</f>
        <v>0</v>
      </c>
      <c r="H77" s="283">
        <f t="shared" si="26"/>
        <v>0</v>
      </c>
      <c r="I77" s="283">
        <f t="shared" si="26"/>
        <v>0</v>
      </c>
      <c r="J77" s="283">
        <f t="shared" si="26"/>
        <v>0</v>
      </c>
      <c r="K77" s="283">
        <f t="shared" si="26"/>
        <v>0</v>
      </c>
      <c r="L77" s="283">
        <f t="shared" si="26"/>
        <v>0</v>
      </c>
      <c r="M77" s="283">
        <f t="shared" si="26"/>
        <v>0</v>
      </c>
      <c r="N77" s="282">
        <f aca="true" t="shared" si="27" ref="N77:O92">C77+F77+H77+J77+L77</f>
        <v>19</v>
      </c>
      <c r="O77" s="282">
        <f t="shared" si="27"/>
        <v>25</v>
      </c>
      <c r="P77" s="282">
        <f t="shared" si="20"/>
        <v>44</v>
      </c>
      <c r="Q77" s="268" t="s">
        <v>112</v>
      </c>
      <c r="R77" s="265"/>
      <c r="S77" s="269"/>
      <c r="T77" s="270"/>
      <c r="U77" s="270"/>
      <c r="V77" s="266"/>
      <c r="W77" s="284">
        <f t="shared" si="24"/>
        <v>0</v>
      </c>
      <c r="X77" s="284">
        <f t="shared" si="24"/>
        <v>0</v>
      </c>
      <c r="Y77" s="284">
        <f t="shared" si="13"/>
        <v>0</v>
      </c>
      <c r="Z77" s="272" t="s">
        <v>538</v>
      </c>
      <c r="AA77" s="273">
        <v>8560</v>
      </c>
      <c r="AB77" s="273">
        <v>6960</v>
      </c>
      <c r="AC77" s="272">
        <v>195000</v>
      </c>
      <c r="AD77" s="272">
        <v>0</v>
      </c>
    </row>
    <row r="78" spans="1:30" s="165" customFormat="1" ht="21">
      <c r="A78" s="130" t="s">
        <v>539</v>
      </c>
      <c r="B78" s="168"/>
      <c r="C78" s="130">
        <v>14</v>
      </c>
      <c r="D78" s="130">
        <v>13</v>
      </c>
      <c r="E78" s="130">
        <f t="shared" si="16"/>
        <v>27</v>
      </c>
      <c r="F78" s="233">
        <v>0</v>
      </c>
      <c r="G78" s="233">
        <v>0</v>
      </c>
      <c r="H78" s="233">
        <v>0</v>
      </c>
      <c r="I78" s="233">
        <v>0</v>
      </c>
      <c r="J78" s="233">
        <v>0</v>
      </c>
      <c r="K78" s="233">
        <v>0</v>
      </c>
      <c r="L78" s="233">
        <v>0</v>
      </c>
      <c r="M78" s="233">
        <v>0</v>
      </c>
      <c r="N78" s="168">
        <f t="shared" si="27"/>
        <v>14</v>
      </c>
      <c r="O78" s="168">
        <f t="shared" si="27"/>
        <v>13</v>
      </c>
      <c r="P78" s="130">
        <f t="shared" si="20"/>
        <v>27</v>
      </c>
      <c r="Q78" s="211" t="s">
        <v>112</v>
      </c>
      <c r="R78" s="19"/>
      <c r="S78" s="135"/>
      <c r="T78" s="32"/>
      <c r="U78" s="32"/>
      <c r="V78" s="130"/>
      <c r="W78" s="235">
        <f t="shared" si="24"/>
        <v>0</v>
      </c>
      <c r="X78" s="235">
        <f t="shared" si="24"/>
        <v>0</v>
      </c>
      <c r="Y78" s="236">
        <f t="shared" si="13"/>
        <v>0</v>
      </c>
      <c r="Z78" s="285" t="s">
        <v>540</v>
      </c>
      <c r="AA78" s="134">
        <v>1037892</v>
      </c>
      <c r="AB78" s="134">
        <v>0</v>
      </c>
      <c r="AC78" s="165">
        <v>0</v>
      </c>
      <c r="AD78" s="165">
        <v>0</v>
      </c>
    </row>
    <row r="79" spans="1:30" s="165" customFormat="1" ht="21">
      <c r="A79" s="130" t="s">
        <v>541</v>
      </c>
      <c r="B79" s="168"/>
      <c r="C79" s="130">
        <v>5</v>
      </c>
      <c r="D79" s="130">
        <v>12</v>
      </c>
      <c r="E79" s="130">
        <f t="shared" si="16"/>
        <v>17</v>
      </c>
      <c r="F79" s="233">
        <v>0</v>
      </c>
      <c r="G79" s="233">
        <v>0</v>
      </c>
      <c r="H79" s="233">
        <v>0</v>
      </c>
      <c r="I79" s="233">
        <v>0</v>
      </c>
      <c r="J79" s="233">
        <v>0</v>
      </c>
      <c r="K79" s="233">
        <v>0</v>
      </c>
      <c r="L79" s="233">
        <v>0</v>
      </c>
      <c r="M79" s="233">
        <v>0</v>
      </c>
      <c r="N79" s="168">
        <f t="shared" si="27"/>
        <v>5</v>
      </c>
      <c r="O79" s="168">
        <f t="shared" si="27"/>
        <v>12</v>
      </c>
      <c r="P79" s="130">
        <f t="shared" si="20"/>
        <v>17</v>
      </c>
      <c r="Q79" s="211" t="s">
        <v>112</v>
      </c>
      <c r="R79" s="19"/>
      <c r="S79" s="135"/>
      <c r="T79" s="32"/>
      <c r="U79" s="32"/>
      <c r="V79" s="130"/>
      <c r="W79" s="235">
        <f t="shared" si="24"/>
        <v>0</v>
      </c>
      <c r="X79" s="235">
        <f t="shared" si="24"/>
        <v>0</v>
      </c>
      <c r="Y79" s="236">
        <f t="shared" si="13"/>
        <v>0</v>
      </c>
      <c r="Z79" s="165" t="s">
        <v>542</v>
      </c>
      <c r="AA79" s="134">
        <v>30000</v>
      </c>
      <c r="AB79" s="134">
        <v>0</v>
      </c>
      <c r="AC79" s="165">
        <v>0</v>
      </c>
      <c r="AD79" s="165">
        <v>0</v>
      </c>
    </row>
    <row r="80" spans="1:30" s="272" customFormat="1" ht="21">
      <c r="A80" s="266" t="s">
        <v>87</v>
      </c>
      <c r="B80" s="282"/>
      <c r="C80" s="266">
        <f>C81+C82</f>
        <v>297</v>
      </c>
      <c r="D80" s="266">
        <f>D81+D82</f>
        <v>208</v>
      </c>
      <c r="E80" s="266">
        <f t="shared" si="16"/>
        <v>505</v>
      </c>
      <c r="F80" s="283">
        <f>F81+F82</f>
        <v>0</v>
      </c>
      <c r="G80" s="283">
        <f aca="true" t="shared" si="28" ref="G80:M80">G81+G82</f>
        <v>0</v>
      </c>
      <c r="H80" s="283">
        <f t="shared" si="28"/>
        <v>0</v>
      </c>
      <c r="I80" s="283">
        <f t="shared" si="28"/>
        <v>0</v>
      </c>
      <c r="J80" s="283">
        <f t="shared" si="28"/>
        <v>0</v>
      </c>
      <c r="K80" s="283">
        <f t="shared" si="28"/>
        <v>0</v>
      </c>
      <c r="L80" s="283">
        <f t="shared" si="28"/>
        <v>0</v>
      </c>
      <c r="M80" s="283">
        <f t="shared" si="28"/>
        <v>0</v>
      </c>
      <c r="N80" s="282">
        <f t="shared" si="27"/>
        <v>297</v>
      </c>
      <c r="O80" s="282">
        <f t="shared" si="27"/>
        <v>208</v>
      </c>
      <c r="P80" s="282">
        <f t="shared" si="20"/>
        <v>505</v>
      </c>
      <c r="Q80" s="268" t="s">
        <v>112</v>
      </c>
      <c r="R80" s="265"/>
      <c r="S80" s="269"/>
      <c r="T80" s="270"/>
      <c r="U80" s="270"/>
      <c r="V80" s="266"/>
      <c r="W80" s="284">
        <f t="shared" si="24"/>
        <v>0</v>
      </c>
      <c r="X80" s="284">
        <f t="shared" si="24"/>
        <v>0</v>
      </c>
      <c r="Y80" s="284">
        <f t="shared" si="13"/>
        <v>0</v>
      </c>
      <c r="Z80" s="272" t="s">
        <v>21</v>
      </c>
      <c r="AA80" s="273">
        <f>SUM(AA76:AA79)</f>
        <v>1944250</v>
      </c>
      <c r="AB80" s="273">
        <f>SUM(AB76:AB79)</f>
        <v>875876.9</v>
      </c>
      <c r="AC80" s="273">
        <f>SUM(AC76:AC79)</f>
        <v>585000</v>
      </c>
      <c r="AD80" s="286">
        <f>SUM(AD76:AD79)</f>
        <v>237580.62</v>
      </c>
    </row>
    <row r="81" spans="1:28" s="165" customFormat="1" ht="21">
      <c r="A81" s="130" t="s">
        <v>539</v>
      </c>
      <c r="B81" s="168"/>
      <c r="C81" s="130">
        <v>294</v>
      </c>
      <c r="D81" s="130">
        <v>208</v>
      </c>
      <c r="E81" s="130">
        <f t="shared" si="16"/>
        <v>502</v>
      </c>
      <c r="F81" s="233">
        <v>0</v>
      </c>
      <c r="G81" s="233">
        <v>0</v>
      </c>
      <c r="H81" s="233">
        <v>0</v>
      </c>
      <c r="I81" s="233">
        <v>0</v>
      </c>
      <c r="J81" s="233">
        <v>0</v>
      </c>
      <c r="K81" s="233">
        <v>0</v>
      </c>
      <c r="L81" s="233">
        <v>0</v>
      </c>
      <c r="M81" s="233">
        <v>0</v>
      </c>
      <c r="N81" s="168">
        <f t="shared" si="27"/>
        <v>294</v>
      </c>
      <c r="O81" s="168">
        <f t="shared" si="27"/>
        <v>208</v>
      </c>
      <c r="P81" s="130">
        <f t="shared" si="20"/>
        <v>502</v>
      </c>
      <c r="Q81" s="211" t="s">
        <v>112</v>
      </c>
      <c r="R81" s="19"/>
      <c r="S81" s="135"/>
      <c r="T81" s="32"/>
      <c r="U81" s="32"/>
      <c r="V81" s="130"/>
      <c r="W81" s="235">
        <f t="shared" si="24"/>
        <v>0</v>
      </c>
      <c r="X81" s="235">
        <f t="shared" si="24"/>
        <v>0</v>
      </c>
      <c r="Y81" s="236">
        <f t="shared" si="13"/>
        <v>0</v>
      </c>
      <c r="AA81" s="134"/>
      <c r="AB81" s="134"/>
    </row>
    <row r="82" spans="1:28" s="165" customFormat="1" ht="21">
      <c r="A82" s="130" t="s">
        <v>541</v>
      </c>
      <c r="B82" s="168"/>
      <c r="C82" s="130">
        <v>3</v>
      </c>
      <c r="D82" s="130">
        <v>0</v>
      </c>
      <c r="E82" s="130">
        <f t="shared" si="16"/>
        <v>3</v>
      </c>
      <c r="F82" s="233">
        <v>0</v>
      </c>
      <c r="G82" s="233">
        <v>0</v>
      </c>
      <c r="H82" s="233">
        <v>0</v>
      </c>
      <c r="I82" s="233">
        <v>0</v>
      </c>
      <c r="J82" s="233">
        <v>0</v>
      </c>
      <c r="K82" s="233">
        <v>0</v>
      </c>
      <c r="L82" s="233">
        <v>0</v>
      </c>
      <c r="M82" s="233">
        <v>0</v>
      </c>
      <c r="N82" s="168">
        <f t="shared" si="27"/>
        <v>3</v>
      </c>
      <c r="O82" s="168">
        <f t="shared" si="27"/>
        <v>0</v>
      </c>
      <c r="P82" s="130">
        <f t="shared" si="20"/>
        <v>3</v>
      </c>
      <c r="Q82" s="211" t="s">
        <v>112</v>
      </c>
      <c r="R82" s="19"/>
      <c r="S82" s="135"/>
      <c r="T82" s="32"/>
      <c r="U82" s="32"/>
      <c r="V82" s="130"/>
      <c r="W82" s="235">
        <f t="shared" si="24"/>
        <v>0</v>
      </c>
      <c r="X82" s="235">
        <f t="shared" si="24"/>
        <v>0</v>
      </c>
      <c r="Y82" s="236">
        <f t="shared" si="13"/>
        <v>0</v>
      </c>
      <c r="Z82" s="165" t="s">
        <v>543</v>
      </c>
      <c r="AA82" s="134"/>
      <c r="AB82" s="135">
        <f>AA80+AC80</f>
        <v>2529250</v>
      </c>
    </row>
    <row r="83" spans="1:28" s="272" customFormat="1" ht="21">
      <c r="A83" s="266" t="s">
        <v>88</v>
      </c>
      <c r="B83" s="282"/>
      <c r="C83" s="266">
        <f>C84+C85</f>
        <v>356</v>
      </c>
      <c r="D83" s="266">
        <f>D84+D85</f>
        <v>321</v>
      </c>
      <c r="E83" s="266">
        <f t="shared" si="16"/>
        <v>677</v>
      </c>
      <c r="F83" s="283">
        <f>F84+F85</f>
        <v>0</v>
      </c>
      <c r="G83" s="283">
        <f aca="true" t="shared" si="29" ref="G83:M83">G84+G85</f>
        <v>0</v>
      </c>
      <c r="H83" s="283">
        <f t="shared" si="29"/>
        <v>0</v>
      </c>
      <c r="I83" s="283">
        <f t="shared" si="29"/>
        <v>0</v>
      </c>
      <c r="J83" s="283">
        <f t="shared" si="29"/>
        <v>0</v>
      </c>
      <c r="K83" s="283">
        <f t="shared" si="29"/>
        <v>0</v>
      </c>
      <c r="L83" s="283">
        <f t="shared" si="29"/>
        <v>0</v>
      </c>
      <c r="M83" s="283">
        <f t="shared" si="29"/>
        <v>0</v>
      </c>
      <c r="N83" s="282">
        <f t="shared" si="27"/>
        <v>356</v>
      </c>
      <c r="O83" s="282">
        <f t="shared" si="27"/>
        <v>321</v>
      </c>
      <c r="P83" s="282">
        <f t="shared" si="20"/>
        <v>677</v>
      </c>
      <c r="Q83" s="268" t="s">
        <v>112</v>
      </c>
      <c r="R83" s="265"/>
      <c r="S83" s="269"/>
      <c r="T83" s="270"/>
      <c r="U83" s="270"/>
      <c r="V83" s="266"/>
      <c r="W83" s="284">
        <f t="shared" si="24"/>
        <v>0</v>
      </c>
      <c r="X83" s="284">
        <f t="shared" si="24"/>
        <v>0</v>
      </c>
      <c r="Y83" s="284">
        <f t="shared" si="13"/>
        <v>0</v>
      </c>
      <c r="Z83" s="272" t="s">
        <v>544</v>
      </c>
      <c r="AA83" s="273"/>
      <c r="AB83" s="269">
        <f>AB80+AD80</f>
        <v>1113457.52</v>
      </c>
    </row>
    <row r="84" spans="1:28" s="165" customFormat="1" ht="21">
      <c r="A84" s="130" t="s">
        <v>539</v>
      </c>
      <c r="B84" s="168"/>
      <c r="C84" s="130">
        <v>351</v>
      </c>
      <c r="D84" s="130">
        <v>320</v>
      </c>
      <c r="E84" s="130">
        <f t="shared" si="16"/>
        <v>671</v>
      </c>
      <c r="F84" s="233">
        <v>0</v>
      </c>
      <c r="G84" s="233">
        <v>0</v>
      </c>
      <c r="H84" s="233">
        <v>0</v>
      </c>
      <c r="I84" s="233">
        <v>0</v>
      </c>
      <c r="J84" s="233">
        <v>0</v>
      </c>
      <c r="K84" s="233">
        <v>0</v>
      </c>
      <c r="L84" s="233">
        <v>0</v>
      </c>
      <c r="M84" s="233">
        <v>0</v>
      </c>
      <c r="N84" s="168">
        <f t="shared" si="27"/>
        <v>351</v>
      </c>
      <c r="O84" s="168">
        <f t="shared" si="27"/>
        <v>320</v>
      </c>
      <c r="P84" s="130">
        <f t="shared" si="20"/>
        <v>671</v>
      </c>
      <c r="Q84" s="211" t="s">
        <v>112</v>
      </c>
      <c r="R84" s="19"/>
      <c r="S84" s="135"/>
      <c r="T84" s="32"/>
      <c r="U84" s="32"/>
      <c r="V84" s="130"/>
      <c r="W84" s="235">
        <f aca="true" t="shared" si="30" ref="W84:X91">F84+H84+J84+L84</f>
        <v>0</v>
      </c>
      <c r="X84" s="235">
        <f t="shared" si="30"/>
        <v>0</v>
      </c>
      <c r="Y84" s="236">
        <f t="shared" si="13"/>
        <v>0</v>
      </c>
      <c r="AA84" s="134" t="s">
        <v>21</v>
      </c>
      <c r="AB84" s="135">
        <f>AB82-AB83</f>
        <v>1415792.48</v>
      </c>
    </row>
    <row r="85" spans="1:28" s="165" customFormat="1" ht="21">
      <c r="A85" s="130" t="s">
        <v>541</v>
      </c>
      <c r="B85" s="168"/>
      <c r="C85" s="130">
        <v>5</v>
      </c>
      <c r="D85" s="130">
        <v>1</v>
      </c>
      <c r="E85" s="130">
        <f t="shared" si="16"/>
        <v>6</v>
      </c>
      <c r="F85" s="233">
        <v>0</v>
      </c>
      <c r="G85" s="233">
        <v>0</v>
      </c>
      <c r="H85" s="233">
        <v>0</v>
      </c>
      <c r="I85" s="233">
        <v>0</v>
      </c>
      <c r="J85" s="233">
        <v>0</v>
      </c>
      <c r="K85" s="233">
        <v>0</v>
      </c>
      <c r="L85" s="233">
        <v>0</v>
      </c>
      <c r="M85" s="233">
        <v>0</v>
      </c>
      <c r="N85" s="168">
        <f t="shared" si="27"/>
        <v>5</v>
      </c>
      <c r="O85" s="168">
        <f t="shared" si="27"/>
        <v>1</v>
      </c>
      <c r="P85" s="130">
        <f t="shared" si="20"/>
        <v>6</v>
      </c>
      <c r="Q85" s="211" t="s">
        <v>112</v>
      </c>
      <c r="R85" s="19"/>
      <c r="S85" s="135"/>
      <c r="T85" s="32"/>
      <c r="U85" s="32"/>
      <c r="V85" s="130"/>
      <c r="W85" s="235">
        <f t="shared" si="30"/>
        <v>0</v>
      </c>
      <c r="X85" s="235">
        <f t="shared" si="30"/>
        <v>0</v>
      </c>
      <c r="Y85" s="236">
        <f t="shared" si="13"/>
        <v>0</v>
      </c>
      <c r="AA85" s="134"/>
      <c r="AB85" s="134"/>
    </row>
    <row r="86" spans="1:28" s="272" customFormat="1" ht="21">
      <c r="A86" s="282" t="s">
        <v>354</v>
      </c>
      <c r="B86" s="282">
        <v>150</v>
      </c>
      <c r="C86" s="282">
        <f>C87+C88+C89</f>
        <v>63</v>
      </c>
      <c r="D86" s="282">
        <f>D87+D88+D89</f>
        <v>62</v>
      </c>
      <c r="E86" s="266">
        <f t="shared" si="16"/>
        <v>125</v>
      </c>
      <c r="F86" s="283">
        <f>F87+F88+F89</f>
        <v>0</v>
      </c>
      <c r="G86" s="283">
        <f aca="true" t="shared" si="31" ref="G86:M86">G87+G88+G89</f>
        <v>0</v>
      </c>
      <c r="H86" s="283">
        <f t="shared" si="31"/>
        <v>0</v>
      </c>
      <c r="I86" s="283">
        <f t="shared" si="31"/>
        <v>0</v>
      </c>
      <c r="J86" s="283">
        <f t="shared" si="31"/>
        <v>0</v>
      </c>
      <c r="K86" s="283">
        <f t="shared" si="31"/>
        <v>0</v>
      </c>
      <c r="L86" s="283">
        <f t="shared" si="31"/>
        <v>0</v>
      </c>
      <c r="M86" s="283">
        <f t="shared" si="31"/>
        <v>0</v>
      </c>
      <c r="N86" s="282">
        <f t="shared" si="27"/>
        <v>63</v>
      </c>
      <c r="O86" s="282">
        <f t="shared" si="27"/>
        <v>62</v>
      </c>
      <c r="P86" s="282">
        <f t="shared" si="20"/>
        <v>125</v>
      </c>
      <c r="Q86" s="268">
        <f>P86*100/B86</f>
        <v>83.33333333333333</v>
      </c>
      <c r="R86" s="265"/>
      <c r="S86" s="269"/>
      <c r="T86" s="270"/>
      <c r="U86" s="270"/>
      <c r="V86" s="266"/>
      <c r="W86" s="284">
        <f t="shared" si="30"/>
        <v>0</v>
      </c>
      <c r="X86" s="284">
        <f t="shared" si="30"/>
        <v>0</v>
      </c>
      <c r="Y86" s="284">
        <f t="shared" si="13"/>
        <v>0</v>
      </c>
      <c r="AA86" s="273"/>
      <c r="AB86" s="273"/>
    </row>
    <row r="87" spans="1:28" s="165" customFormat="1" ht="21">
      <c r="A87" s="130" t="s">
        <v>86</v>
      </c>
      <c r="B87" s="168"/>
      <c r="C87" s="130">
        <v>0</v>
      </c>
      <c r="D87" s="130">
        <v>1</v>
      </c>
      <c r="E87" s="130">
        <f t="shared" si="16"/>
        <v>1</v>
      </c>
      <c r="F87" s="233">
        <v>0</v>
      </c>
      <c r="G87" s="233">
        <v>0</v>
      </c>
      <c r="H87" s="233">
        <v>0</v>
      </c>
      <c r="I87" s="233">
        <v>0</v>
      </c>
      <c r="J87" s="233">
        <v>0</v>
      </c>
      <c r="K87" s="233">
        <v>0</v>
      </c>
      <c r="L87" s="233">
        <v>0</v>
      </c>
      <c r="M87" s="233">
        <v>0</v>
      </c>
      <c r="N87" s="168">
        <f t="shared" si="27"/>
        <v>0</v>
      </c>
      <c r="O87" s="168">
        <f t="shared" si="27"/>
        <v>1</v>
      </c>
      <c r="P87" s="130">
        <f t="shared" si="20"/>
        <v>1</v>
      </c>
      <c r="Q87" s="211" t="s">
        <v>112</v>
      </c>
      <c r="R87" s="19"/>
      <c r="S87" s="135"/>
      <c r="T87" s="32"/>
      <c r="U87" s="32"/>
      <c r="V87" s="130"/>
      <c r="W87" s="235">
        <f t="shared" si="30"/>
        <v>0</v>
      </c>
      <c r="X87" s="235">
        <f t="shared" si="30"/>
        <v>0</v>
      </c>
      <c r="Y87" s="236">
        <f t="shared" si="13"/>
        <v>0</v>
      </c>
      <c r="AA87" s="134"/>
      <c r="AB87" s="134"/>
    </row>
    <row r="88" spans="1:28" s="165" customFormat="1" ht="21">
      <c r="A88" s="130" t="s">
        <v>87</v>
      </c>
      <c r="B88" s="168"/>
      <c r="C88" s="130">
        <v>29</v>
      </c>
      <c r="D88" s="130">
        <v>24</v>
      </c>
      <c r="E88" s="130">
        <f t="shared" si="16"/>
        <v>53</v>
      </c>
      <c r="F88" s="233">
        <v>0</v>
      </c>
      <c r="G88" s="233">
        <v>0</v>
      </c>
      <c r="H88" s="233">
        <v>0</v>
      </c>
      <c r="I88" s="233">
        <v>0</v>
      </c>
      <c r="J88" s="233">
        <v>0</v>
      </c>
      <c r="K88" s="233">
        <v>0</v>
      </c>
      <c r="L88" s="233">
        <v>0</v>
      </c>
      <c r="M88" s="233">
        <v>0</v>
      </c>
      <c r="N88" s="168">
        <f t="shared" si="27"/>
        <v>29</v>
      </c>
      <c r="O88" s="168">
        <f t="shared" si="27"/>
        <v>24</v>
      </c>
      <c r="P88" s="130">
        <f t="shared" si="20"/>
        <v>53</v>
      </c>
      <c r="Q88" s="211" t="s">
        <v>112</v>
      </c>
      <c r="R88" s="19"/>
      <c r="S88" s="135"/>
      <c r="T88" s="32"/>
      <c r="U88" s="32"/>
      <c r="V88" s="130"/>
      <c r="W88" s="235">
        <f t="shared" si="30"/>
        <v>0</v>
      </c>
      <c r="X88" s="235">
        <f t="shared" si="30"/>
        <v>0</v>
      </c>
      <c r="Y88" s="236">
        <f t="shared" si="13"/>
        <v>0</v>
      </c>
      <c r="AA88" s="134"/>
      <c r="AB88" s="134"/>
    </row>
    <row r="89" spans="1:28" s="165" customFormat="1" ht="21">
      <c r="A89" s="130" t="s">
        <v>88</v>
      </c>
      <c r="B89" s="168"/>
      <c r="C89" s="130">
        <v>34</v>
      </c>
      <c r="D89" s="130">
        <v>37</v>
      </c>
      <c r="E89" s="130">
        <f t="shared" si="16"/>
        <v>71</v>
      </c>
      <c r="F89" s="233">
        <v>0</v>
      </c>
      <c r="G89" s="233">
        <v>0</v>
      </c>
      <c r="H89" s="233">
        <v>0</v>
      </c>
      <c r="I89" s="233">
        <v>0</v>
      </c>
      <c r="J89" s="233">
        <v>0</v>
      </c>
      <c r="K89" s="233">
        <v>0</v>
      </c>
      <c r="L89" s="233">
        <v>0</v>
      </c>
      <c r="M89" s="233">
        <v>0</v>
      </c>
      <c r="N89" s="168">
        <f t="shared" si="27"/>
        <v>34</v>
      </c>
      <c r="O89" s="168">
        <f t="shared" si="27"/>
        <v>37</v>
      </c>
      <c r="P89" s="130">
        <f t="shared" si="20"/>
        <v>71</v>
      </c>
      <c r="Q89" s="211" t="s">
        <v>112</v>
      </c>
      <c r="R89" s="19"/>
      <c r="S89" s="135"/>
      <c r="T89" s="32"/>
      <c r="U89" s="32"/>
      <c r="V89" s="130"/>
      <c r="W89" s="235">
        <f t="shared" si="30"/>
        <v>0</v>
      </c>
      <c r="X89" s="235">
        <f t="shared" si="30"/>
        <v>0</v>
      </c>
      <c r="Y89" s="236">
        <f t="shared" si="13"/>
        <v>0</v>
      </c>
      <c r="AA89" s="134" t="s">
        <v>112</v>
      </c>
      <c r="AB89" s="134"/>
    </row>
    <row r="90" spans="1:28" s="165" customFormat="1" ht="42">
      <c r="A90" s="164" t="s">
        <v>545</v>
      </c>
      <c r="B90" s="168" t="s">
        <v>112</v>
      </c>
      <c r="C90" s="130">
        <v>0</v>
      </c>
      <c r="D90" s="130">
        <v>0</v>
      </c>
      <c r="E90" s="130">
        <f t="shared" si="16"/>
        <v>0</v>
      </c>
      <c r="F90" s="130"/>
      <c r="G90" s="130"/>
      <c r="H90" s="130"/>
      <c r="I90" s="130"/>
      <c r="J90" s="130"/>
      <c r="K90" s="130"/>
      <c r="L90" s="130"/>
      <c r="M90" s="130"/>
      <c r="N90" s="168">
        <f t="shared" si="27"/>
        <v>0</v>
      </c>
      <c r="O90" s="168">
        <f t="shared" si="27"/>
        <v>0</v>
      </c>
      <c r="P90" s="130">
        <f t="shared" si="20"/>
        <v>0</v>
      </c>
      <c r="Q90" s="211" t="s">
        <v>112</v>
      </c>
      <c r="R90" s="19">
        <f>46700+500</f>
        <v>47200</v>
      </c>
      <c r="S90" s="237">
        <v>0</v>
      </c>
      <c r="T90" s="32">
        <v>0</v>
      </c>
      <c r="U90" s="237">
        <f>S90+T90</f>
        <v>0</v>
      </c>
      <c r="V90" s="130"/>
      <c r="W90" s="235">
        <f t="shared" si="30"/>
        <v>0</v>
      </c>
      <c r="X90" s="235">
        <f t="shared" si="30"/>
        <v>0</v>
      </c>
      <c r="Y90" s="236">
        <f t="shared" si="13"/>
        <v>0</v>
      </c>
      <c r="AA90" s="134">
        <v>44200</v>
      </c>
      <c r="AB90" s="134">
        <v>0</v>
      </c>
    </row>
    <row r="91" spans="1:28" s="272" customFormat="1" ht="21">
      <c r="A91" s="266" t="s">
        <v>546</v>
      </c>
      <c r="B91" s="282">
        <v>30</v>
      </c>
      <c r="C91" s="266">
        <v>0</v>
      </c>
      <c r="D91" s="266">
        <v>0</v>
      </c>
      <c r="E91" s="266">
        <f t="shared" si="16"/>
        <v>0</v>
      </c>
      <c r="F91" s="267">
        <v>0</v>
      </c>
      <c r="G91" s="267">
        <v>0</v>
      </c>
      <c r="H91" s="267">
        <v>0</v>
      </c>
      <c r="I91" s="267">
        <v>0</v>
      </c>
      <c r="J91" s="267">
        <v>0</v>
      </c>
      <c r="K91" s="267">
        <v>0</v>
      </c>
      <c r="L91" s="267">
        <v>0</v>
      </c>
      <c r="M91" s="267">
        <v>0</v>
      </c>
      <c r="N91" s="282">
        <f t="shared" si="27"/>
        <v>0</v>
      </c>
      <c r="O91" s="282">
        <f t="shared" si="27"/>
        <v>0</v>
      </c>
      <c r="P91" s="266">
        <f t="shared" si="20"/>
        <v>0</v>
      </c>
      <c r="Q91" s="268">
        <f>P91*100/B91</f>
        <v>0</v>
      </c>
      <c r="R91" s="265"/>
      <c r="S91" s="269"/>
      <c r="T91" s="270"/>
      <c r="U91" s="270"/>
      <c r="V91" s="266"/>
      <c r="W91" s="235">
        <f t="shared" si="30"/>
        <v>0</v>
      </c>
      <c r="X91" s="235">
        <f t="shared" si="30"/>
        <v>0</v>
      </c>
      <c r="Y91" s="236">
        <f t="shared" si="13"/>
        <v>0</v>
      </c>
      <c r="AA91" s="273"/>
      <c r="AB91" s="275">
        <f>AB90-S90</f>
        <v>0</v>
      </c>
    </row>
    <row r="92" spans="1:28" s="165" customFormat="1" ht="42">
      <c r="A92" s="164" t="s">
        <v>547</v>
      </c>
      <c r="B92" s="168" t="s">
        <v>112</v>
      </c>
      <c r="C92" s="130">
        <v>0</v>
      </c>
      <c r="D92" s="130">
        <v>0</v>
      </c>
      <c r="E92" s="130">
        <f>C92+D92</f>
        <v>0</v>
      </c>
      <c r="F92" s="130"/>
      <c r="G92" s="130"/>
      <c r="H92" s="130"/>
      <c r="I92" s="130"/>
      <c r="J92" s="130"/>
      <c r="K92" s="130"/>
      <c r="L92" s="130"/>
      <c r="M92" s="130"/>
      <c r="N92" s="168">
        <f t="shared" si="27"/>
        <v>0</v>
      </c>
      <c r="O92" s="168">
        <f t="shared" si="27"/>
        <v>0</v>
      </c>
      <c r="P92" s="130">
        <f>N92+O92</f>
        <v>0</v>
      </c>
      <c r="Q92" s="211" t="s">
        <v>112</v>
      </c>
      <c r="R92" s="19">
        <v>0</v>
      </c>
      <c r="S92" s="237"/>
      <c r="T92" s="32">
        <v>0</v>
      </c>
      <c r="U92" s="237">
        <f>S92+T92</f>
        <v>0</v>
      </c>
      <c r="V92" s="130"/>
      <c r="W92" s="235">
        <f>F92+H92+J92+L92</f>
        <v>0</v>
      </c>
      <c r="X92" s="235">
        <f>G92+I92+K92+M92</f>
        <v>0</v>
      </c>
      <c r="Y92" s="236">
        <f>W92+X92</f>
        <v>0</v>
      </c>
      <c r="AA92" s="134">
        <v>223100</v>
      </c>
      <c r="AB92" s="134">
        <v>68980</v>
      </c>
    </row>
    <row r="93" spans="1:28" s="272" customFormat="1" ht="21">
      <c r="A93" s="266" t="s">
        <v>548</v>
      </c>
      <c r="B93" s="282">
        <v>10</v>
      </c>
      <c r="C93" s="266">
        <v>0</v>
      </c>
      <c r="D93" s="266">
        <v>0</v>
      </c>
      <c r="E93" s="266">
        <f>C93+D93</f>
        <v>0</v>
      </c>
      <c r="F93" s="267">
        <v>0</v>
      </c>
      <c r="G93" s="267">
        <v>0</v>
      </c>
      <c r="H93" s="267">
        <v>0</v>
      </c>
      <c r="I93" s="267">
        <v>0</v>
      </c>
      <c r="J93" s="267">
        <v>0</v>
      </c>
      <c r="K93" s="267">
        <v>0</v>
      </c>
      <c r="L93" s="267">
        <v>0</v>
      </c>
      <c r="M93" s="267">
        <v>0</v>
      </c>
      <c r="N93" s="282">
        <f>C93+F93+H93+J93+L93</f>
        <v>0</v>
      </c>
      <c r="O93" s="282">
        <f>D93+G93+I93+K93+M93</f>
        <v>0</v>
      </c>
      <c r="P93" s="266">
        <f>N93+O93</f>
        <v>0</v>
      </c>
      <c r="Q93" s="268">
        <f>P93*100/B93</f>
        <v>0</v>
      </c>
      <c r="R93" s="265"/>
      <c r="S93" s="269"/>
      <c r="T93" s="270"/>
      <c r="U93" s="270"/>
      <c r="V93" s="266"/>
      <c r="W93" s="235">
        <f>F93+H93+J93+L93</f>
        <v>0</v>
      </c>
      <c r="X93" s="235">
        <f>G93+I93+K93+M93</f>
        <v>0</v>
      </c>
      <c r="Y93" s="236">
        <f>W93+X93</f>
        <v>0</v>
      </c>
      <c r="AA93" s="273"/>
      <c r="AB93" s="275">
        <f>AB92-S92</f>
        <v>68980</v>
      </c>
    </row>
  </sheetData>
  <sheetProtection/>
  <mergeCells count="21">
    <mergeCell ref="P4:P5"/>
    <mergeCell ref="U4:U6"/>
    <mergeCell ref="A1:V1"/>
    <mergeCell ref="A2:V2"/>
    <mergeCell ref="A3:U3"/>
    <mergeCell ref="A4:A6"/>
    <mergeCell ref="B4:B6"/>
    <mergeCell ref="C4:D5"/>
    <mergeCell ref="E4:E5"/>
    <mergeCell ref="F4:M4"/>
    <mergeCell ref="N4:O5"/>
    <mergeCell ref="V4:V6"/>
    <mergeCell ref="F5:G5"/>
    <mergeCell ref="H5:I5"/>
    <mergeCell ref="J5:K5"/>
    <mergeCell ref="L5:M5"/>
    <mergeCell ref="B7:V7"/>
    <mergeCell ref="Q4:Q6"/>
    <mergeCell ref="R4:R6"/>
    <mergeCell ref="S4:S6"/>
    <mergeCell ref="T4:T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1">
      <selection activeCell="D12" sqref="D12"/>
    </sheetView>
  </sheetViews>
  <sheetFormatPr defaultColWidth="6.8515625" defaultRowHeight="15"/>
  <cols>
    <col min="1" max="1" width="40.140625" style="122" customWidth="1"/>
    <col min="2" max="2" width="10.421875" style="122" customWidth="1"/>
    <col min="3" max="3" width="6.28125" style="122" customWidth="1"/>
    <col min="4" max="4" width="6.140625" style="122" customWidth="1"/>
    <col min="5" max="5" width="12.140625" style="122" customWidth="1"/>
    <col min="6" max="6" width="5.00390625" style="122" customWidth="1"/>
    <col min="7" max="7" width="6.00390625" style="122" customWidth="1"/>
    <col min="8" max="8" width="4.8515625" style="122" customWidth="1"/>
    <col min="9" max="9" width="5.140625" style="122" customWidth="1"/>
    <col min="10" max="10" width="4.8515625" style="122" customWidth="1"/>
    <col min="11" max="11" width="5.7109375" style="122" customWidth="1"/>
    <col min="12" max="12" width="5.28125" style="122" customWidth="1"/>
    <col min="13" max="13" width="5.421875" style="122" customWidth="1"/>
    <col min="14" max="14" width="6.7109375" style="122" customWidth="1"/>
    <col min="15" max="15" width="7.7109375" style="122" customWidth="1"/>
    <col min="16" max="21" width="10.421875" style="122" customWidth="1"/>
    <col min="22" max="16384" width="6.8515625" style="122" customWidth="1"/>
  </cols>
  <sheetData>
    <row r="1" spans="1:21" ht="23.2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</row>
    <row r="2" spans="1:21" ht="23.25">
      <c r="A2" s="371" t="s">
        <v>549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0" ht="23.25">
      <c r="A3" s="372" t="s">
        <v>550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</row>
    <row r="4" spans="1:23" ht="21">
      <c r="A4" s="373" t="s">
        <v>3</v>
      </c>
      <c r="B4" s="367" t="s">
        <v>4</v>
      </c>
      <c r="C4" s="375" t="s">
        <v>5</v>
      </c>
      <c r="D4" s="376"/>
      <c r="E4" s="367" t="s">
        <v>357</v>
      </c>
      <c r="F4" s="375" t="s">
        <v>6</v>
      </c>
      <c r="G4" s="379"/>
      <c r="H4" s="379"/>
      <c r="I4" s="379"/>
      <c r="J4" s="379"/>
      <c r="K4" s="379"/>
      <c r="L4" s="379"/>
      <c r="M4" s="376"/>
      <c r="N4" s="375" t="s">
        <v>7</v>
      </c>
      <c r="O4" s="376"/>
      <c r="P4" s="367" t="s">
        <v>8</v>
      </c>
      <c r="Q4" s="367" t="s">
        <v>9</v>
      </c>
      <c r="R4" s="367" t="s">
        <v>10</v>
      </c>
      <c r="S4" s="367" t="s">
        <v>11</v>
      </c>
      <c r="T4" s="367" t="s">
        <v>12</v>
      </c>
      <c r="U4" s="367" t="s">
        <v>13</v>
      </c>
      <c r="W4" s="122" t="s">
        <v>358</v>
      </c>
    </row>
    <row r="5" spans="1:21" ht="35.25" customHeight="1">
      <c r="A5" s="374"/>
      <c r="B5" s="368"/>
      <c r="C5" s="377"/>
      <c r="D5" s="378"/>
      <c r="E5" s="369"/>
      <c r="F5" s="370" t="s">
        <v>14</v>
      </c>
      <c r="G5" s="370"/>
      <c r="H5" s="370" t="s">
        <v>15</v>
      </c>
      <c r="I5" s="370"/>
      <c r="J5" s="370" t="s">
        <v>16</v>
      </c>
      <c r="K5" s="370"/>
      <c r="L5" s="370" t="s">
        <v>17</v>
      </c>
      <c r="M5" s="370"/>
      <c r="N5" s="377"/>
      <c r="O5" s="378"/>
      <c r="P5" s="368"/>
      <c r="Q5" s="368"/>
      <c r="R5" s="368"/>
      <c r="S5" s="368"/>
      <c r="T5" s="368"/>
      <c r="U5" s="368"/>
    </row>
    <row r="6" spans="1:21" ht="21">
      <c r="A6" s="374"/>
      <c r="B6" s="369"/>
      <c r="C6" s="123" t="s">
        <v>18</v>
      </c>
      <c r="D6" s="123" t="s">
        <v>19</v>
      </c>
      <c r="E6" s="124" t="s">
        <v>20</v>
      </c>
      <c r="F6" s="123" t="s">
        <v>18</v>
      </c>
      <c r="G6" s="123" t="s">
        <v>19</v>
      </c>
      <c r="H6" s="123" t="s">
        <v>18</v>
      </c>
      <c r="I6" s="123" t="s">
        <v>19</v>
      </c>
      <c r="J6" s="123" t="s">
        <v>18</v>
      </c>
      <c r="K6" s="123" t="s">
        <v>19</v>
      </c>
      <c r="L6" s="123" t="s">
        <v>18</v>
      </c>
      <c r="M6" s="123" t="s">
        <v>19</v>
      </c>
      <c r="N6" s="123" t="s">
        <v>18</v>
      </c>
      <c r="O6" s="123" t="s">
        <v>19</v>
      </c>
      <c r="P6" s="369"/>
      <c r="Q6" s="369"/>
      <c r="R6" s="369"/>
      <c r="S6" s="369"/>
      <c r="T6" s="369"/>
      <c r="U6" s="369"/>
    </row>
    <row r="7" spans="1:21" ht="21">
      <c r="A7" s="125" t="s">
        <v>22</v>
      </c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6"/>
    </row>
    <row r="8" spans="1:21" ht="21">
      <c r="A8" s="126" t="s">
        <v>23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8"/>
      <c r="R8" s="128"/>
      <c r="S8" s="128"/>
      <c r="T8" s="128"/>
      <c r="U8" s="128"/>
    </row>
    <row r="9" spans="1:21" ht="21">
      <c r="A9" s="129" t="s">
        <v>24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</row>
    <row r="10" spans="1:21" ht="21">
      <c r="A10" s="21" t="s">
        <v>359</v>
      </c>
      <c r="B10" s="158">
        <v>421</v>
      </c>
      <c r="C10" s="131"/>
      <c r="D10" s="131"/>
      <c r="E10" s="131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2">
        <v>0.0475</v>
      </c>
      <c r="Q10" s="133">
        <v>468900</v>
      </c>
      <c r="R10" s="134">
        <v>0</v>
      </c>
      <c r="S10" s="135">
        <v>43100</v>
      </c>
      <c r="T10" s="135">
        <v>43100</v>
      </c>
      <c r="U10" s="132">
        <v>0.0919</v>
      </c>
    </row>
    <row r="11" spans="1:21" ht="21">
      <c r="A11" s="136" t="s">
        <v>551</v>
      </c>
      <c r="B11" s="131"/>
      <c r="C11" s="130"/>
      <c r="D11" s="130"/>
      <c r="E11" s="130"/>
      <c r="F11" s="131"/>
      <c r="G11" s="131"/>
      <c r="H11" s="131">
        <v>3</v>
      </c>
      <c r="I11" s="131">
        <v>3</v>
      </c>
      <c r="J11" s="131">
        <v>3</v>
      </c>
      <c r="K11" s="131">
        <v>7</v>
      </c>
      <c r="L11" s="131"/>
      <c r="M11" s="131">
        <v>4</v>
      </c>
      <c r="N11" s="131">
        <v>6</v>
      </c>
      <c r="O11" s="131">
        <v>14</v>
      </c>
      <c r="P11" s="130"/>
      <c r="Q11" s="130"/>
      <c r="R11" s="130"/>
      <c r="S11" s="130"/>
      <c r="T11" s="130"/>
      <c r="U11" s="130"/>
    </row>
    <row r="12" spans="1:21" ht="21">
      <c r="A12" s="136" t="s">
        <v>552</v>
      </c>
      <c r="B12" s="131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ht="42">
      <c r="A13" s="21" t="s">
        <v>553</v>
      </c>
      <c r="B13" s="158">
        <v>320</v>
      </c>
      <c r="C13" s="131"/>
      <c r="D13" s="131"/>
      <c r="E13" s="131"/>
      <c r="F13" s="130"/>
      <c r="G13" s="130"/>
      <c r="H13" s="130"/>
      <c r="I13" s="130"/>
      <c r="J13" s="130"/>
      <c r="K13" s="130"/>
      <c r="L13" s="130"/>
      <c r="M13" s="130"/>
      <c r="N13" s="158">
        <v>36</v>
      </c>
      <c r="O13" s="158">
        <v>321</v>
      </c>
      <c r="P13" s="132">
        <v>1</v>
      </c>
      <c r="Q13" s="133"/>
      <c r="R13" s="135"/>
      <c r="S13" s="135"/>
      <c r="T13" s="135"/>
      <c r="U13" s="132"/>
    </row>
    <row r="14" spans="1:21" ht="21">
      <c r="A14" s="136" t="s">
        <v>554</v>
      </c>
      <c r="B14" s="130"/>
      <c r="C14" s="130"/>
      <c r="D14" s="130"/>
      <c r="E14" s="130"/>
      <c r="F14" s="137"/>
      <c r="G14" s="137"/>
      <c r="H14" s="137"/>
      <c r="I14" s="137">
        <v>15</v>
      </c>
      <c r="J14" s="137"/>
      <c r="K14" s="137">
        <v>6</v>
      </c>
      <c r="L14" s="137"/>
      <c r="M14" s="137"/>
      <c r="N14" s="289"/>
      <c r="O14" s="289">
        <v>21</v>
      </c>
      <c r="P14" s="290"/>
      <c r="Q14" s="130"/>
      <c r="R14" s="130"/>
      <c r="S14" s="130"/>
      <c r="T14" s="130"/>
      <c r="U14" s="130"/>
    </row>
    <row r="15" spans="1:21" ht="21">
      <c r="A15" s="291" t="s">
        <v>555</v>
      </c>
      <c r="B15" s="130"/>
      <c r="C15" s="130"/>
      <c r="D15" s="130"/>
      <c r="E15" s="130"/>
      <c r="F15" s="137"/>
      <c r="G15" s="131"/>
      <c r="H15" s="131"/>
      <c r="I15" s="131">
        <v>5</v>
      </c>
      <c r="J15" s="131">
        <v>1</v>
      </c>
      <c r="K15" s="131">
        <v>15</v>
      </c>
      <c r="L15" s="131"/>
      <c r="M15" s="131"/>
      <c r="N15" s="158">
        <v>1</v>
      </c>
      <c r="O15" s="158">
        <v>19</v>
      </c>
      <c r="P15" s="130"/>
      <c r="Q15" s="130"/>
      <c r="R15" s="130"/>
      <c r="S15" s="130"/>
      <c r="T15" s="130"/>
      <c r="U15" s="130"/>
    </row>
    <row r="16" spans="1:21" ht="21">
      <c r="A16" s="136" t="s">
        <v>556</v>
      </c>
      <c r="B16" s="130"/>
      <c r="C16" s="130"/>
      <c r="D16" s="130"/>
      <c r="E16" s="130"/>
      <c r="F16" s="137"/>
      <c r="G16" s="131"/>
      <c r="H16" s="131"/>
      <c r="I16" s="131">
        <v>2</v>
      </c>
      <c r="J16" s="131"/>
      <c r="K16" s="131">
        <v>9</v>
      </c>
      <c r="L16" s="131"/>
      <c r="M16" s="131">
        <v>13</v>
      </c>
      <c r="N16" s="158"/>
      <c r="O16" s="158">
        <v>24</v>
      </c>
      <c r="P16" s="130"/>
      <c r="Q16" s="130"/>
      <c r="R16" s="130"/>
      <c r="S16" s="130"/>
      <c r="T16" s="130"/>
      <c r="U16" s="130"/>
    </row>
    <row r="17" spans="1:21" ht="21">
      <c r="A17" s="136" t="s">
        <v>557</v>
      </c>
      <c r="B17" s="130"/>
      <c r="C17" s="130"/>
      <c r="D17" s="130"/>
      <c r="E17" s="130"/>
      <c r="F17" s="137"/>
      <c r="G17" s="131"/>
      <c r="H17" s="131"/>
      <c r="I17" s="131">
        <v>3</v>
      </c>
      <c r="J17" s="131">
        <v>2</v>
      </c>
      <c r="K17" s="131">
        <v>15</v>
      </c>
      <c r="L17" s="131"/>
      <c r="M17" s="131"/>
      <c r="N17" s="158">
        <v>2</v>
      </c>
      <c r="O17" s="158">
        <v>18</v>
      </c>
      <c r="P17" s="130"/>
      <c r="Q17" s="130"/>
      <c r="R17" s="130"/>
      <c r="S17" s="130"/>
      <c r="T17" s="130"/>
      <c r="U17" s="130"/>
    </row>
    <row r="18" spans="1:21" ht="21">
      <c r="A18" s="136" t="s">
        <v>558</v>
      </c>
      <c r="B18" s="130"/>
      <c r="C18" s="130"/>
      <c r="D18" s="130"/>
      <c r="E18" s="130"/>
      <c r="F18" s="137"/>
      <c r="G18" s="131"/>
      <c r="H18" s="131">
        <v>1</v>
      </c>
      <c r="I18" s="131">
        <v>11</v>
      </c>
      <c r="J18" s="131"/>
      <c r="K18" s="131">
        <v>10</v>
      </c>
      <c r="L18" s="131"/>
      <c r="M18" s="131"/>
      <c r="N18" s="158">
        <v>1</v>
      </c>
      <c r="O18" s="158">
        <v>21</v>
      </c>
      <c r="P18" s="130"/>
      <c r="Q18" s="130"/>
      <c r="R18" s="130"/>
      <c r="S18" s="130"/>
      <c r="T18" s="130"/>
      <c r="U18" s="130"/>
    </row>
    <row r="19" spans="1:21" ht="21">
      <c r="A19" s="136" t="s">
        <v>559</v>
      </c>
      <c r="B19" s="130"/>
      <c r="C19" s="130"/>
      <c r="D19" s="130"/>
      <c r="E19" s="130"/>
      <c r="F19" s="137"/>
      <c r="G19" s="131"/>
      <c r="H19" s="131"/>
      <c r="I19" s="131">
        <v>9</v>
      </c>
      <c r="J19" s="131"/>
      <c r="K19" s="131">
        <v>10</v>
      </c>
      <c r="L19" s="131"/>
      <c r="M19" s="131">
        <v>1</v>
      </c>
      <c r="N19" s="158"/>
      <c r="O19" s="158">
        <v>20</v>
      </c>
      <c r="P19" s="130"/>
      <c r="Q19" s="130"/>
      <c r="R19" s="130"/>
      <c r="S19" s="130"/>
      <c r="T19" s="130"/>
      <c r="U19" s="130"/>
    </row>
    <row r="20" spans="1:21" ht="21">
      <c r="A20" s="136" t="s">
        <v>560</v>
      </c>
      <c r="B20" s="130"/>
      <c r="C20" s="130"/>
      <c r="D20" s="130"/>
      <c r="E20" s="130"/>
      <c r="F20" s="137"/>
      <c r="G20" s="131"/>
      <c r="H20" s="131"/>
      <c r="I20" s="131">
        <v>5</v>
      </c>
      <c r="J20" s="131"/>
      <c r="K20" s="131">
        <v>15</v>
      </c>
      <c r="L20" s="131"/>
      <c r="M20" s="131"/>
      <c r="N20" s="158"/>
      <c r="O20" s="158">
        <v>20</v>
      </c>
      <c r="P20" s="130"/>
      <c r="Q20" s="130"/>
      <c r="R20" s="130"/>
      <c r="S20" s="130"/>
      <c r="T20" s="130"/>
      <c r="U20" s="130"/>
    </row>
    <row r="21" spans="1:21" ht="21">
      <c r="A21" s="136" t="s">
        <v>561</v>
      </c>
      <c r="B21" s="130"/>
      <c r="C21" s="130"/>
      <c r="D21" s="130"/>
      <c r="E21" s="130"/>
      <c r="F21" s="137"/>
      <c r="G21" s="131"/>
      <c r="H21" s="131"/>
      <c r="I21" s="131">
        <v>15</v>
      </c>
      <c r="J21" s="131"/>
      <c r="K21" s="131">
        <v>10</v>
      </c>
      <c r="L21" s="131"/>
      <c r="M21" s="131"/>
      <c r="N21" s="158"/>
      <c r="O21" s="158">
        <v>25</v>
      </c>
      <c r="P21" s="130"/>
      <c r="Q21" s="130"/>
      <c r="R21" s="130"/>
      <c r="S21" s="130"/>
      <c r="T21" s="130"/>
      <c r="U21" s="130"/>
    </row>
    <row r="22" spans="1:21" ht="21">
      <c r="A22" s="136" t="s">
        <v>562</v>
      </c>
      <c r="B22" s="130"/>
      <c r="C22" s="130"/>
      <c r="D22" s="130"/>
      <c r="E22" s="130"/>
      <c r="F22" s="137"/>
      <c r="G22" s="131"/>
      <c r="H22" s="131">
        <v>3</v>
      </c>
      <c r="I22" s="131">
        <v>2</v>
      </c>
      <c r="J22" s="131">
        <v>1</v>
      </c>
      <c r="K22" s="131">
        <v>15</v>
      </c>
      <c r="L22" s="131"/>
      <c r="M22" s="131"/>
      <c r="N22" s="158">
        <v>4</v>
      </c>
      <c r="O22" s="158">
        <v>17</v>
      </c>
      <c r="P22" s="130"/>
      <c r="Q22" s="130"/>
      <c r="R22" s="130"/>
      <c r="S22" s="130"/>
      <c r="T22" s="130"/>
      <c r="U22" s="130"/>
    </row>
    <row r="23" spans="1:21" ht="21">
      <c r="A23" s="136" t="s">
        <v>563</v>
      </c>
      <c r="B23" s="130"/>
      <c r="C23" s="130"/>
      <c r="D23" s="130"/>
      <c r="E23" s="130"/>
      <c r="F23" s="137"/>
      <c r="G23" s="131"/>
      <c r="H23" s="131"/>
      <c r="I23" s="131"/>
      <c r="J23" s="131"/>
      <c r="K23" s="131">
        <v>21</v>
      </c>
      <c r="L23" s="131"/>
      <c r="M23" s="131"/>
      <c r="N23" s="158"/>
      <c r="O23" s="158">
        <v>21</v>
      </c>
      <c r="P23" s="130"/>
      <c r="Q23" s="130"/>
      <c r="R23" s="130"/>
      <c r="S23" s="130"/>
      <c r="T23" s="130"/>
      <c r="U23" s="130"/>
    </row>
    <row r="24" spans="1:21" ht="21">
      <c r="A24" s="136" t="s">
        <v>564</v>
      </c>
      <c r="B24" s="130"/>
      <c r="C24" s="130"/>
      <c r="D24" s="130"/>
      <c r="E24" s="130"/>
      <c r="F24" s="137"/>
      <c r="G24" s="131"/>
      <c r="H24" s="131">
        <v>1</v>
      </c>
      <c r="I24" s="131">
        <v>3</v>
      </c>
      <c r="J24" s="131">
        <v>5</v>
      </c>
      <c r="K24" s="131">
        <v>12</v>
      </c>
      <c r="L24" s="131"/>
      <c r="M24" s="131"/>
      <c r="N24" s="158">
        <v>6</v>
      </c>
      <c r="O24" s="158">
        <v>15</v>
      </c>
      <c r="P24" s="130"/>
      <c r="Q24" s="130"/>
      <c r="R24" s="130"/>
      <c r="S24" s="130"/>
      <c r="T24" s="130"/>
      <c r="U24" s="130"/>
    </row>
    <row r="25" spans="1:21" ht="21">
      <c r="A25" s="136" t="s">
        <v>565</v>
      </c>
      <c r="B25" s="130"/>
      <c r="C25" s="130"/>
      <c r="D25" s="130"/>
      <c r="E25" s="130"/>
      <c r="F25" s="137"/>
      <c r="G25" s="131"/>
      <c r="H25" s="131"/>
      <c r="I25" s="131">
        <v>1</v>
      </c>
      <c r="J25" s="131">
        <v>4</v>
      </c>
      <c r="K25" s="131">
        <v>9</v>
      </c>
      <c r="L25" s="131"/>
      <c r="M25" s="131"/>
      <c r="N25" s="158">
        <v>4</v>
      </c>
      <c r="O25" s="158">
        <v>16</v>
      </c>
      <c r="P25" s="130"/>
      <c r="Q25" s="130"/>
      <c r="R25" s="130"/>
      <c r="S25" s="130"/>
      <c r="T25" s="130"/>
      <c r="U25" s="130"/>
    </row>
    <row r="26" spans="1:21" ht="21">
      <c r="A26" s="136" t="s">
        <v>566</v>
      </c>
      <c r="B26" s="130"/>
      <c r="C26" s="130"/>
      <c r="D26" s="130"/>
      <c r="E26" s="130"/>
      <c r="F26" s="137"/>
      <c r="G26" s="131"/>
      <c r="H26" s="131">
        <v>1</v>
      </c>
      <c r="I26" s="131">
        <v>1</v>
      </c>
      <c r="J26" s="131">
        <v>1</v>
      </c>
      <c r="K26" s="131">
        <v>19</v>
      </c>
      <c r="L26" s="131"/>
      <c r="M26" s="131"/>
      <c r="N26" s="158">
        <v>2</v>
      </c>
      <c r="O26" s="158">
        <v>20</v>
      </c>
      <c r="P26" s="130"/>
      <c r="Q26" s="130"/>
      <c r="R26" s="130"/>
      <c r="S26" s="130"/>
      <c r="T26" s="130"/>
      <c r="U26" s="130"/>
    </row>
    <row r="27" spans="1:21" ht="21">
      <c r="A27" s="136" t="s">
        <v>567</v>
      </c>
      <c r="B27" s="130"/>
      <c r="C27" s="130"/>
      <c r="D27" s="130"/>
      <c r="E27" s="130"/>
      <c r="F27" s="137"/>
      <c r="G27" s="131"/>
      <c r="H27" s="131"/>
      <c r="I27" s="131">
        <v>3</v>
      </c>
      <c r="J27" s="131">
        <v>2</v>
      </c>
      <c r="K27" s="131">
        <v>10</v>
      </c>
      <c r="L27" s="131"/>
      <c r="M27" s="131">
        <v>5</v>
      </c>
      <c r="N27" s="158">
        <v>2</v>
      </c>
      <c r="O27" s="158">
        <v>18</v>
      </c>
      <c r="P27" s="130"/>
      <c r="Q27" s="130"/>
      <c r="R27" s="130"/>
      <c r="S27" s="130"/>
      <c r="T27" s="130"/>
      <c r="U27" s="130"/>
    </row>
    <row r="28" spans="1:21" ht="21">
      <c r="A28" s="136" t="s">
        <v>568</v>
      </c>
      <c r="B28" s="130"/>
      <c r="C28" s="130"/>
      <c r="D28" s="130"/>
      <c r="E28" s="130"/>
      <c r="F28" s="137"/>
      <c r="G28" s="131"/>
      <c r="H28" s="131"/>
      <c r="I28" s="131">
        <v>17</v>
      </c>
      <c r="J28" s="131"/>
      <c r="K28" s="131">
        <v>3</v>
      </c>
      <c r="L28" s="131"/>
      <c r="M28" s="131"/>
      <c r="N28" s="158"/>
      <c r="O28" s="158">
        <v>20</v>
      </c>
      <c r="P28" s="130"/>
      <c r="Q28" s="130"/>
      <c r="R28" s="130"/>
      <c r="S28" s="130"/>
      <c r="T28" s="130"/>
      <c r="U28" s="130"/>
    </row>
    <row r="29" spans="1:21" ht="21">
      <c r="A29" s="136" t="s">
        <v>569</v>
      </c>
      <c r="B29" s="130"/>
      <c r="C29" s="130"/>
      <c r="D29" s="130"/>
      <c r="E29" s="130"/>
      <c r="F29" s="137"/>
      <c r="G29" s="131"/>
      <c r="H29" s="131">
        <v>2</v>
      </c>
      <c r="I29" s="131">
        <v>5</v>
      </c>
      <c r="J29" s="131">
        <v>6</v>
      </c>
      <c r="K29" s="131">
        <v>7</v>
      </c>
      <c r="L29" s="131"/>
      <c r="M29" s="131"/>
      <c r="N29" s="158">
        <v>8</v>
      </c>
      <c r="O29" s="158">
        <v>12</v>
      </c>
      <c r="P29" s="130"/>
      <c r="Q29" s="130"/>
      <c r="R29" s="130"/>
      <c r="S29" s="130"/>
      <c r="T29" s="130"/>
      <c r="U29" s="130"/>
    </row>
    <row r="30" spans="1:21" ht="21">
      <c r="A30" s="21" t="s">
        <v>362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</row>
    <row r="31" spans="1:21" ht="21">
      <c r="A31" s="136" t="s">
        <v>570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</row>
    <row r="32" spans="1:21" ht="21">
      <c r="A32" s="136" t="s">
        <v>552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</row>
    <row r="33" spans="1:21" ht="21">
      <c r="A33" s="129" t="s">
        <v>38</v>
      </c>
      <c r="B33" s="131">
        <v>280</v>
      </c>
      <c r="C33" s="131"/>
      <c r="D33" s="131"/>
      <c r="E33" s="131"/>
      <c r="F33" s="130"/>
      <c r="G33" s="130"/>
      <c r="H33" s="130"/>
      <c r="I33" s="130"/>
      <c r="J33" s="130"/>
      <c r="K33" s="130"/>
      <c r="L33" s="130"/>
      <c r="M33" s="130"/>
      <c r="N33" s="158">
        <v>49</v>
      </c>
      <c r="O33" s="158">
        <v>167</v>
      </c>
      <c r="P33" s="132">
        <v>0.7714</v>
      </c>
      <c r="Q33" s="138">
        <v>32200</v>
      </c>
      <c r="R33" s="135">
        <v>0</v>
      </c>
      <c r="S33" s="135">
        <v>7030</v>
      </c>
      <c r="T33" s="135">
        <v>7030</v>
      </c>
      <c r="U33" s="132">
        <v>0.2183</v>
      </c>
    </row>
    <row r="34" spans="1:21" ht="27.75" customHeight="1">
      <c r="A34" s="136" t="s">
        <v>571</v>
      </c>
      <c r="B34" s="130"/>
      <c r="C34" s="130"/>
      <c r="D34" s="130"/>
      <c r="E34" s="130"/>
      <c r="F34" s="131"/>
      <c r="G34" s="131"/>
      <c r="H34" s="131">
        <v>5</v>
      </c>
      <c r="I34" s="131">
        <v>8</v>
      </c>
      <c r="J34" s="131">
        <v>7</v>
      </c>
      <c r="K34" s="131">
        <v>16</v>
      </c>
      <c r="L34" s="131"/>
      <c r="M34" s="131"/>
      <c r="N34" s="158">
        <v>12</v>
      </c>
      <c r="O34" s="158">
        <v>24</v>
      </c>
      <c r="P34" s="130"/>
      <c r="Q34" s="130"/>
      <c r="R34" s="130"/>
      <c r="S34" s="130"/>
      <c r="T34" s="130"/>
      <c r="U34" s="130"/>
    </row>
    <row r="35" spans="1:21" ht="27.75" customHeight="1">
      <c r="A35" s="292" t="s">
        <v>572</v>
      </c>
      <c r="B35" s="149"/>
      <c r="C35" s="149"/>
      <c r="D35" s="149"/>
      <c r="E35" s="149"/>
      <c r="F35" s="146">
        <v>8</v>
      </c>
      <c r="G35" s="146">
        <v>6</v>
      </c>
      <c r="H35" s="146"/>
      <c r="I35" s="146">
        <v>1</v>
      </c>
      <c r="J35" s="146">
        <v>1</v>
      </c>
      <c r="K35" s="146">
        <v>51</v>
      </c>
      <c r="L35" s="149"/>
      <c r="M35" s="149"/>
      <c r="N35" s="177">
        <v>9</v>
      </c>
      <c r="O35" s="177">
        <v>58</v>
      </c>
      <c r="P35" s="130"/>
      <c r="Q35" s="130"/>
      <c r="R35" s="130"/>
      <c r="S35" s="130"/>
      <c r="T35" s="130"/>
      <c r="U35" s="130"/>
    </row>
    <row r="36" spans="1:21" ht="27.75" customHeight="1">
      <c r="A36" s="136" t="s">
        <v>573</v>
      </c>
      <c r="B36" s="130"/>
      <c r="C36" s="130"/>
      <c r="D36" s="130"/>
      <c r="E36" s="130"/>
      <c r="F36" s="131"/>
      <c r="G36" s="131"/>
      <c r="H36" s="131"/>
      <c r="I36" s="131">
        <v>2</v>
      </c>
      <c r="J36" s="131">
        <v>3</v>
      </c>
      <c r="K36" s="131">
        <v>23</v>
      </c>
      <c r="L36" s="131">
        <v>1</v>
      </c>
      <c r="M36" s="131">
        <v>2</v>
      </c>
      <c r="N36" s="158">
        <v>6</v>
      </c>
      <c r="O36" s="158">
        <v>37</v>
      </c>
      <c r="P36" s="130"/>
      <c r="Q36" s="130"/>
      <c r="R36" s="130"/>
      <c r="S36" s="130"/>
      <c r="T36" s="130"/>
      <c r="U36" s="130"/>
    </row>
    <row r="37" spans="1:21" ht="25.5" customHeight="1">
      <c r="A37" s="149" t="s">
        <v>574</v>
      </c>
      <c r="B37" s="149"/>
      <c r="C37" s="149"/>
      <c r="D37" s="149"/>
      <c r="E37" s="149"/>
      <c r="F37" s="149"/>
      <c r="G37" s="149"/>
      <c r="H37" s="149"/>
      <c r="I37" s="146">
        <v>15</v>
      </c>
      <c r="J37" s="146">
        <v>1</v>
      </c>
      <c r="K37" s="146">
        <v>19</v>
      </c>
      <c r="L37" s="149"/>
      <c r="M37" s="149"/>
      <c r="N37" s="177">
        <v>1</v>
      </c>
      <c r="O37" s="177">
        <v>34</v>
      </c>
      <c r="P37" s="149"/>
      <c r="Q37" s="149"/>
      <c r="R37" s="149"/>
      <c r="S37" s="149"/>
      <c r="T37" s="149"/>
      <c r="U37" s="149"/>
    </row>
    <row r="38" spans="1:21" ht="25.5" customHeight="1">
      <c r="A38" s="149" t="s">
        <v>575</v>
      </c>
      <c r="B38" s="149"/>
      <c r="C38" s="149"/>
      <c r="D38" s="149"/>
      <c r="E38" s="149"/>
      <c r="F38" s="149"/>
      <c r="G38" s="149"/>
      <c r="H38" s="149">
        <v>8</v>
      </c>
      <c r="I38" s="146">
        <v>4</v>
      </c>
      <c r="J38" s="146">
        <v>13</v>
      </c>
      <c r="K38" s="146">
        <v>10</v>
      </c>
      <c r="L38" s="149"/>
      <c r="M38" s="149"/>
      <c r="N38" s="177">
        <v>21</v>
      </c>
      <c r="O38" s="177">
        <v>14</v>
      </c>
      <c r="P38" s="149"/>
      <c r="Q38" s="149"/>
      <c r="R38" s="149"/>
      <c r="S38" s="149"/>
      <c r="T38" s="149"/>
      <c r="U38" s="149"/>
    </row>
    <row r="39" spans="1:21" ht="21">
      <c r="A39" s="129" t="s">
        <v>40</v>
      </c>
      <c r="B39" s="137">
        <v>240</v>
      </c>
      <c r="C39" s="131"/>
      <c r="D39" s="131"/>
      <c r="E39" s="131"/>
      <c r="F39" s="130"/>
      <c r="G39" s="130"/>
      <c r="H39" s="130"/>
      <c r="I39" s="130"/>
      <c r="J39" s="130"/>
      <c r="K39" s="130"/>
      <c r="L39" s="130"/>
      <c r="M39" s="130"/>
      <c r="N39" s="158">
        <v>14</v>
      </c>
      <c r="O39" s="158">
        <v>80</v>
      </c>
      <c r="P39" s="132">
        <v>0.3916</v>
      </c>
      <c r="Q39" s="157">
        <v>144000</v>
      </c>
      <c r="R39" s="135">
        <v>0</v>
      </c>
      <c r="S39" s="135">
        <v>13440</v>
      </c>
      <c r="T39" s="135">
        <v>24545</v>
      </c>
      <c r="U39" s="132">
        <v>0.0933</v>
      </c>
    </row>
    <row r="40" spans="1:21" ht="21">
      <c r="A40" s="293" t="s">
        <v>576</v>
      </c>
      <c r="B40" s="130"/>
      <c r="C40" s="130"/>
      <c r="D40" s="130"/>
      <c r="E40" s="130"/>
      <c r="F40" s="131"/>
      <c r="G40" s="131"/>
      <c r="H40" s="131"/>
      <c r="I40" s="131"/>
      <c r="J40" s="131">
        <v>2</v>
      </c>
      <c r="K40" s="131">
        <v>33</v>
      </c>
      <c r="L40" s="131"/>
      <c r="M40" s="131"/>
      <c r="N40" s="158">
        <v>2</v>
      </c>
      <c r="O40" s="158">
        <v>33</v>
      </c>
      <c r="P40" s="131"/>
      <c r="Q40" s="130"/>
      <c r="R40" s="130"/>
      <c r="S40" s="130"/>
      <c r="T40" s="130"/>
      <c r="U40" s="130"/>
    </row>
    <row r="41" spans="1:21" ht="21">
      <c r="A41" s="136" t="s">
        <v>577</v>
      </c>
      <c r="B41" s="130"/>
      <c r="C41" s="130"/>
      <c r="D41" s="130"/>
      <c r="E41" s="130"/>
      <c r="F41" s="131"/>
      <c r="G41" s="131"/>
      <c r="H41" s="131"/>
      <c r="I41" s="131"/>
      <c r="J41" s="131"/>
      <c r="K41" s="131"/>
      <c r="L41" s="131">
        <v>7</v>
      </c>
      <c r="M41" s="131">
        <v>27</v>
      </c>
      <c r="N41" s="158">
        <v>7</v>
      </c>
      <c r="O41" s="158">
        <v>27</v>
      </c>
      <c r="P41" s="131"/>
      <c r="Q41" s="130"/>
      <c r="R41" s="130"/>
      <c r="S41" s="130"/>
      <c r="T41" s="130"/>
      <c r="U41" s="130"/>
    </row>
    <row r="42" spans="1:21" ht="23.25" customHeight="1">
      <c r="A42" s="136" t="s">
        <v>578</v>
      </c>
      <c r="B42" s="130"/>
      <c r="C42" s="130"/>
      <c r="D42" s="130"/>
      <c r="E42" s="130"/>
      <c r="F42" s="131"/>
      <c r="G42" s="131"/>
      <c r="H42" s="131"/>
      <c r="I42" s="131"/>
      <c r="J42" s="131"/>
      <c r="K42" s="131">
        <v>3</v>
      </c>
      <c r="L42" s="131">
        <v>5</v>
      </c>
      <c r="M42" s="131">
        <v>17</v>
      </c>
      <c r="N42" s="158">
        <v>5</v>
      </c>
      <c r="O42" s="158">
        <v>20</v>
      </c>
      <c r="P42" s="131"/>
      <c r="Q42" s="130"/>
      <c r="R42" s="130"/>
      <c r="S42" s="130"/>
      <c r="T42" s="130"/>
      <c r="U42" s="130"/>
    </row>
    <row r="43" spans="1:21" ht="21">
      <c r="A43" s="129" t="s">
        <v>45</v>
      </c>
      <c r="B43" s="131">
        <v>80</v>
      </c>
      <c r="C43" s="131"/>
      <c r="D43" s="131"/>
      <c r="E43" s="131"/>
      <c r="F43" s="130"/>
      <c r="G43" s="130"/>
      <c r="H43" s="130"/>
      <c r="I43" s="130"/>
      <c r="J43" s="130"/>
      <c r="K43" s="130"/>
      <c r="L43" s="130"/>
      <c r="M43" s="130"/>
      <c r="N43" s="131">
        <v>9</v>
      </c>
      <c r="O43" s="131">
        <v>33</v>
      </c>
      <c r="P43" s="132">
        <v>0.525</v>
      </c>
      <c r="Q43" s="157">
        <v>64000</v>
      </c>
      <c r="R43" s="135">
        <v>0</v>
      </c>
      <c r="S43" s="135">
        <v>7000</v>
      </c>
      <c r="T43" s="135">
        <v>7000</v>
      </c>
      <c r="U43" s="132">
        <v>0.1875</v>
      </c>
    </row>
    <row r="44" spans="1:21" ht="21">
      <c r="A44" s="159" t="s">
        <v>579</v>
      </c>
      <c r="B44" s="130"/>
      <c r="C44" s="130"/>
      <c r="D44" s="130"/>
      <c r="E44" s="131"/>
      <c r="F44" s="131"/>
      <c r="G44" s="131"/>
      <c r="H44" s="131"/>
      <c r="I44" s="131">
        <v>6</v>
      </c>
      <c r="J44" s="131">
        <v>9</v>
      </c>
      <c r="K44" s="131">
        <v>27</v>
      </c>
      <c r="L44" s="131"/>
      <c r="M44" s="131"/>
      <c r="N44" s="158">
        <v>9</v>
      </c>
      <c r="O44" s="158">
        <v>33</v>
      </c>
      <c r="P44" s="130"/>
      <c r="Q44" s="130"/>
      <c r="R44" s="130"/>
      <c r="S44" s="130"/>
      <c r="T44" s="130"/>
      <c r="U44" s="130"/>
    </row>
    <row r="45" spans="1:21" ht="21">
      <c r="A45" s="159" t="s">
        <v>580</v>
      </c>
      <c r="B45" s="130"/>
      <c r="C45" s="130"/>
      <c r="D45" s="130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0"/>
      <c r="Q45" s="130"/>
      <c r="R45" s="130"/>
      <c r="S45" s="130"/>
      <c r="T45" s="130"/>
      <c r="U45" s="130"/>
    </row>
    <row r="46" spans="1:21" ht="21">
      <c r="A46" s="129" t="s">
        <v>49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21" ht="21">
      <c r="A47" s="129" t="s">
        <v>50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</row>
    <row r="48" spans="1:21" ht="42">
      <c r="A48" s="162" t="s">
        <v>52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49"/>
      <c r="P48" s="149"/>
      <c r="Q48" s="149"/>
      <c r="R48" s="149"/>
      <c r="S48" s="149"/>
      <c r="T48" s="149"/>
      <c r="U48" s="149"/>
    </row>
    <row r="49" spans="1:21" ht="21">
      <c r="A49" s="129" t="s">
        <v>53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</row>
    <row r="50" spans="1:21" ht="21">
      <c r="A50" s="129" t="s">
        <v>54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</row>
    <row r="51" spans="1:21" ht="21">
      <c r="A51" s="129" t="s">
        <v>55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</row>
    <row r="52" spans="1:21" ht="21">
      <c r="A52" s="129" t="s">
        <v>56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</row>
    <row r="53" spans="1:21" ht="42">
      <c r="A53" s="162" t="s">
        <v>57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49"/>
      <c r="P53" s="149"/>
      <c r="Q53" s="149"/>
      <c r="R53" s="149"/>
      <c r="S53" s="149"/>
      <c r="T53" s="149"/>
      <c r="U53" s="149"/>
    </row>
    <row r="54" spans="1:21" ht="42">
      <c r="A54" s="164" t="s">
        <v>58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</row>
    <row r="55" spans="1:21" ht="21">
      <c r="A55" s="129" t="s">
        <v>59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</row>
    <row r="56" spans="1:21" ht="21">
      <c r="A56" s="129" t="s">
        <v>60</v>
      </c>
      <c r="B56" s="165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</row>
    <row r="57" spans="1:21" ht="21">
      <c r="A57" s="129" t="s">
        <v>61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</row>
    <row r="58" spans="1:21" ht="21">
      <c r="A58" s="164" t="s">
        <v>62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</row>
    <row r="59" spans="1:21" ht="21">
      <c r="A59" s="166" t="s">
        <v>63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49"/>
      <c r="P59" s="149"/>
      <c r="Q59" s="167"/>
      <c r="R59" s="167"/>
      <c r="S59" s="167"/>
      <c r="T59" s="167"/>
      <c r="U59" s="149"/>
    </row>
    <row r="60" spans="1:21" ht="21">
      <c r="A60" s="168" t="s">
        <v>246</v>
      </c>
      <c r="B60" s="157">
        <v>40000</v>
      </c>
      <c r="C60" s="294">
        <v>4216</v>
      </c>
      <c r="D60" s="170">
        <v>5215</v>
      </c>
      <c r="E60" s="171">
        <v>9431</v>
      </c>
      <c r="F60" s="171">
        <v>426</v>
      </c>
      <c r="G60" s="171">
        <v>520</v>
      </c>
      <c r="H60" s="171">
        <v>635</v>
      </c>
      <c r="I60" s="171">
        <v>780</v>
      </c>
      <c r="J60" s="171">
        <v>394</v>
      </c>
      <c r="K60" s="171">
        <v>785</v>
      </c>
      <c r="L60" s="170">
        <v>240</v>
      </c>
      <c r="M60" s="171">
        <v>298</v>
      </c>
      <c r="N60" s="171">
        <v>1695</v>
      </c>
      <c r="O60" s="171">
        <v>2383</v>
      </c>
      <c r="P60" s="172">
        <v>0.3377</v>
      </c>
      <c r="Q60" s="130"/>
      <c r="R60" s="130"/>
      <c r="S60" s="130"/>
      <c r="T60" s="130"/>
      <c r="U60" s="130"/>
    </row>
    <row r="61" spans="1:21" ht="21">
      <c r="A61" s="168" t="s">
        <v>247</v>
      </c>
      <c r="B61" s="157">
        <v>1000</v>
      </c>
      <c r="C61" s="170">
        <v>120</v>
      </c>
      <c r="D61" s="170">
        <v>176</v>
      </c>
      <c r="E61" s="171">
        <v>296</v>
      </c>
      <c r="F61" s="171">
        <v>24</v>
      </c>
      <c r="G61" s="171">
        <v>32</v>
      </c>
      <c r="H61" s="171">
        <v>28</v>
      </c>
      <c r="I61" s="171">
        <v>34</v>
      </c>
      <c r="J61" s="171">
        <v>22</v>
      </c>
      <c r="K61" s="171">
        <v>31</v>
      </c>
      <c r="L61" s="171">
        <v>20</v>
      </c>
      <c r="M61" s="171">
        <v>18</v>
      </c>
      <c r="N61" s="171">
        <v>94</v>
      </c>
      <c r="O61" s="171">
        <v>115</v>
      </c>
      <c r="P61" s="172">
        <v>0.505</v>
      </c>
      <c r="Q61" s="130"/>
      <c r="R61" s="130"/>
      <c r="S61" s="130"/>
      <c r="T61" s="130"/>
      <c r="U61" s="130"/>
    </row>
    <row r="62" spans="1:21" ht="21">
      <c r="A62" s="168" t="s">
        <v>66</v>
      </c>
      <c r="B62" s="157">
        <v>10000</v>
      </c>
      <c r="C62" s="170"/>
      <c r="D62" s="170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2"/>
      <c r="Q62" s="130"/>
      <c r="R62" s="130"/>
      <c r="S62" s="130"/>
      <c r="T62" s="130"/>
      <c r="U62" s="130"/>
    </row>
    <row r="63" spans="1:21" ht="21">
      <c r="A63" s="130" t="s">
        <v>581</v>
      </c>
      <c r="B63" s="131"/>
      <c r="C63" s="170">
        <v>1258</v>
      </c>
      <c r="D63" s="170">
        <v>1540</v>
      </c>
      <c r="E63" s="171">
        <v>2798</v>
      </c>
      <c r="F63" s="171">
        <v>120</v>
      </c>
      <c r="G63" s="171">
        <v>230</v>
      </c>
      <c r="H63" s="171">
        <v>185</v>
      </c>
      <c r="I63" s="171">
        <v>242</v>
      </c>
      <c r="J63" s="171">
        <v>142</v>
      </c>
      <c r="K63" s="171">
        <v>164</v>
      </c>
      <c r="L63" s="171">
        <v>160</v>
      </c>
      <c r="M63" s="171">
        <v>245</v>
      </c>
      <c r="N63" s="171">
        <v>607</v>
      </c>
      <c r="O63" s="171">
        <v>881</v>
      </c>
      <c r="P63" s="172">
        <v>0.4286</v>
      </c>
      <c r="Q63" s="130"/>
      <c r="R63" s="130"/>
      <c r="S63" s="130"/>
      <c r="T63" s="130"/>
      <c r="U63" s="130"/>
    </row>
    <row r="64" spans="1:21" ht="21">
      <c r="A64" s="130" t="s">
        <v>582</v>
      </c>
      <c r="B64" s="131"/>
      <c r="C64" s="170"/>
      <c r="D64" s="170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30"/>
      <c r="Q64" s="130"/>
      <c r="R64" s="130"/>
      <c r="S64" s="130"/>
      <c r="T64" s="130"/>
      <c r="U64" s="130"/>
    </row>
    <row r="65" spans="1:21" ht="21">
      <c r="A65" s="168" t="s">
        <v>71</v>
      </c>
      <c r="B65" s="173">
        <v>10000</v>
      </c>
      <c r="C65" s="170">
        <v>1475</v>
      </c>
      <c r="D65" s="170">
        <v>1768</v>
      </c>
      <c r="E65" s="174">
        <v>3243</v>
      </c>
      <c r="F65" s="159">
        <v>130</v>
      </c>
      <c r="G65" s="159">
        <v>195</v>
      </c>
      <c r="H65" s="159">
        <v>423</v>
      </c>
      <c r="I65" s="159">
        <v>497</v>
      </c>
      <c r="J65" s="159">
        <v>312</v>
      </c>
      <c r="K65" s="159">
        <v>420</v>
      </c>
      <c r="L65" s="159">
        <v>135</v>
      </c>
      <c r="M65" s="159">
        <v>224</v>
      </c>
      <c r="N65" s="159">
        <v>1000</v>
      </c>
      <c r="O65" s="159">
        <v>1336</v>
      </c>
      <c r="P65" s="175">
        <v>0.5579</v>
      </c>
      <c r="Q65" s="130"/>
      <c r="R65" s="130"/>
      <c r="S65" s="130"/>
      <c r="T65" s="130"/>
      <c r="U65" s="130"/>
    </row>
    <row r="66" spans="1:21" ht="21">
      <c r="A66" s="149" t="s">
        <v>583</v>
      </c>
      <c r="B66" s="146"/>
      <c r="C66" s="170"/>
      <c r="D66" s="170"/>
      <c r="E66" s="174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75"/>
      <c r="Q66" s="149"/>
      <c r="R66" s="149"/>
      <c r="S66" s="149"/>
      <c r="T66" s="149"/>
      <c r="U66" s="149"/>
    </row>
    <row r="67" spans="1:21" ht="21">
      <c r="A67" s="149" t="s">
        <v>584</v>
      </c>
      <c r="B67" s="146"/>
      <c r="C67" s="188"/>
      <c r="D67" s="188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49"/>
      <c r="Q67" s="149"/>
      <c r="R67" s="149"/>
      <c r="S67" s="149"/>
      <c r="T67" s="149"/>
      <c r="U67" s="149"/>
    </row>
    <row r="68" spans="1:21" ht="21">
      <c r="A68" s="185" t="s">
        <v>75</v>
      </c>
      <c r="B68" s="186">
        <v>200000</v>
      </c>
      <c r="C68" s="188">
        <v>20154</v>
      </c>
      <c r="D68" s="188">
        <v>22762</v>
      </c>
      <c r="E68" s="187">
        <v>42916</v>
      </c>
      <c r="F68" s="188">
        <v>1100</v>
      </c>
      <c r="G68" s="188">
        <v>1542</v>
      </c>
      <c r="H68" s="188">
        <v>3562</v>
      </c>
      <c r="I68" s="188">
        <v>4132</v>
      </c>
      <c r="J68" s="188">
        <v>2436</v>
      </c>
      <c r="K68" s="188">
        <v>3312</v>
      </c>
      <c r="L68" s="188">
        <v>712</v>
      </c>
      <c r="M68" s="188">
        <v>875</v>
      </c>
      <c r="N68" s="188">
        <v>7810</v>
      </c>
      <c r="O68" s="187">
        <v>9861</v>
      </c>
      <c r="P68" s="189">
        <v>0.3029</v>
      </c>
      <c r="Q68" s="149"/>
      <c r="R68" s="149"/>
      <c r="S68" s="149"/>
      <c r="T68" s="149"/>
      <c r="U68" s="149"/>
    </row>
    <row r="69" spans="1:21" ht="21">
      <c r="A69" s="149" t="s">
        <v>585</v>
      </c>
      <c r="B69" s="146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</row>
    <row r="70" spans="1:21" ht="21">
      <c r="A70" s="149" t="s">
        <v>586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</row>
    <row r="71" spans="1:21" ht="21">
      <c r="A71" s="193" t="s">
        <v>77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49"/>
      <c r="P71" s="149"/>
      <c r="Q71" s="149"/>
      <c r="R71" s="149"/>
      <c r="S71" s="149"/>
      <c r="T71" s="149"/>
      <c r="U71" s="149"/>
    </row>
    <row r="72" spans="1:21" ht="21">
      <c r="A72" s="168" t="s">
        <v>78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</row>
    <row r="73" spans="1:21" ht="21">
      <c r="A73" s="168" t="s">
        <v>348</v>
      </c>
      <c r="B73" s="131">
        <v>778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94">
        <v>296190</v>
      </c>
      <c r="R73" s="130"/>
      <c r="S73" s="130"/>
      <c r="T73" s="130"/>
      <c r="U73" s="130"/>
    </row>
    <row r="74" spans="1:21" ht="21">
      <c r="A74" s="168" t="s">
        <v>349</v>
      </c>
      <c r="B74" s="141">
        <v>1226</v>
      </c>
      <c r="C74" s="130">
        <v>339</v>
      </c>
      <c r="D74" s="130">
        <v>263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2">
        <v>0.0962</v>
      </c>
      <c r="Q74" s="194">
        <v>344490</v>
      </c>
      <c r="R74" s="194">
        <v>0</v>
      </c>
      <c r="S74" s="135">
        <v>82650</v>
      </c>
      <c r="T74" s="194">
        <v>82650</v>
      </c>
      <c r="U74" s="195">
        <v>0.2399</v>
      </c>
    </row>
    <row r="75" spans="1:21" ht="21">
      <c r="A75" s="145" t="s">
        <v>587</v>
      </c>
      <c r="B75" s="146"/>
      <c r="C75" s="149"/>
      <c r="D75" s="149"/>
      <c r="E75" s="149"/>
      <c r="F75" s="146">
        <v>2</v>
      </c>
      <c r="G75" s="146">
        <v>1</v>
      </c>
      <c r="H75" s="146">
        <v>63</v>
      </c>
      <c r="I75" s="146">
        <v>52</v>
      </c>
      <c r="J75" s="146"/>
      <c r="K75" s="146"/>
      <c r="L75" s="146"/>
      <c r="M75" s="146"/>
      <c r="N75" s="177">
        <v>65</v>
      </c>
      <c r="O75" s="177">
        <v>53</v>
      </c>
      <c r="P75" s="149"/>
      <c r="Q75" s="149"/>
      <c r="R75" s="149"/>
      <c r="S75" s="149"/>
      <c r="T75" s="149"/>
      <c r="U75" s="149"/>
    </row>
    <row r="76" spans="1:21" ht="21">
      <c r="A76" s="145" t="s">
        <v>588</v>
      </c>
      <c r="B76" s="146"/>
      <c r="C76" s="149"/>
      <c r="D76" s="149"/>
      <c r="E76" s="149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9"/>
      <c r="Q76" s="149"/>
      <c r="R76" s="149"/>
      <c r="S76" s="149"/>
      <c r="T76" s="149"/>
      <c r="U76" s="149"/>
    </row>
    <row r="77" spans="1:21" ht="21">
      <c r="A77" s="145" t="s">
        <v>589</v>
      </c>
      <c r="B77" s="146"/>
      <c r="C77" s="149"/>
      <c r="D77" s="149"/>
      <c r="E77" s="149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9"/>
      <c r="Q77" s="149"/>
      <c r="R77" s="149"/>
      <c r="S77" s="149"/>
      <c r="T77" s="149"/>
      <c r="U77" s="149"/>
    </row>
    <row r="78" spans="1:21" ht="21">
      <c r="A78" s="168" t="s">
        <v>353</v>
      </c>
      <c r="B78" s="141">
        <v>1287</v>
      </c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95">
        <v>1</v>
      </c>
      <c r="Q78" s="201">
        <v>856503</v>
      </c>
      <c r="R78" s="202">
        <v>0</v>
      </c>
      <c r="S78" s="202">
        <v>309308.8</v>
      </c>
      <c r="T78" s="202">
        <v>36.11</v>
      </c>
      <c r="U78" s="132">
        <v>0.3611</v>
      </c>
    </row>
    <row r="79" spans="1:21" ht="21">
      <c r="A79" s="130" t="s">
        <v>86</v>
      </c>
      <c r="B79" s="131">
        <v>28</v>
      </c>
      <c r="C79" s="130">
        <v>20</v>
      </c>
      <c r="D79" s="130">
        <v>8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>
        <v>20</v>
      </c>
      <c r="O79" s="130">
        <v>8</v>
      </c>
      <c r="P79" s="130"/>
      <c r="Q79" s="130"/>
      <c r="R79" s="130"/>
      <c r="S79" s="130"/>
      <c r="T79" s="130"/>
      <c r="U79" s="130"/>
    </row>
    <row r="80" spans="1:21" ht="21">
      <c r="A80" s="130" t="s">
        <v>87</v>
      </c>
      <c r="B80" s="131">
        <v>550</v>
      </c>
      <c r="C80" s="130">
        <v>373</v>
      </c>
      <c r="D80" s="130">
        <v>177</v>
      </c>
      <c r="E80" s="130"/>
      <c r="F80" s="130"/>
      <c r="G80" s="130"/>
      <c r="H80" s="130"/>
      <c r="I80" s="130"/>
      <c r="J80" s="130"/>
      <c r="K80" s="130"/>
      <c r="L80" s="130"/>
      <c r="M80" s="130"/>
      <c r="N80" s="130">
        <v>373</v>
      </c>
      <c r="O80" s="130">
        <v>177</v>
      </c>
      <c r="P80" s="130"/>
      <c r="Q80" s="130"/>
      <c r="R80" s="130"/>
      <c r="S80" s="130"/>
      <c r="T80" s="130"/>
      <c r="U80" s="130"/>
    </row>
    <row r="81" spans="1:21" ht="21">
      <c r="A81" s="130" t="s">
        <v>88</v>
      </c>
      <c r="B81" s="131">
        <v>709</v>
      </c>
      <c r="C81" s="130">
        <v>450</v>
      </c>
      <c r="D81" s="130">
        <v>259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>
        <v>450</v>
      </c>
      <c r="O81" s="130">
        <v>259</v>
      </c>
      <c r="P81" s="130"/>
      <c r="Q81" s="130"/>
      <c r="R81" s="130"/>
      <c r="S81" s="130"/>
      <c r="T81" s="130"/>
      <c r="U81" s="130"/>
    </row>
    <row r="82" spans="1:21" ht="21">
      <c r="A82" s="168" t="s">
        <v>354</v>
      </c>
      <c r="B82" s="131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</row>
    <row r="83" spans="1:21" ht="21">
      <c r="A83" s="130" t="s">
        <v>86</v>
      </c>
      <c r="B83" s="131">
        <v>4</v>
      </c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</row>
    <row r="84" spans="1:21" ht="21">
      <c r="A84" s="130" t="s">
        <v>87</v>
      </c>
      <c r="B84" s="131">
        <v>49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</row>
    <row r="85" spans="1:21" ht="21">
      <c r="A85" s="130" t="s">
        <v>88</v>
      </c>
      <c r="B85" s="131">
        <v>94</v>
      </c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</row>
  </sheetData>
  <sheetProtection/>
  <mergeCells count="20">
    <mergeCell ref="A1:U1"/>
    <mergeCell ref="A2:U2"/>
    <mergeCell ref="A3:T3"/>
    <mergeCell ref="A4:A6"/>
    <mergeCell ref="B4:B6"/>
    <mergeCell ref="C4:D5"/>
    <mergeCell ref="E4:E5"/>
    <mergeCell ref="F4:M4"/>
    <mergeCell ref="N4:O5"/>
    <mergeCell ref="P4:P6"/>
    <mergeCell ref="B7:U7"/>
    <mergeCell ref="Q4:Q6"/>
    <mergeCell ref="R4:R6"/>
    <mergeCell ref="S4:S6"/>
    <mergeCell ref="T4:T6"/>
    <mergeCell ref="U4:U6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1">
      <selection activeCell="A1" sqref="A1:IV16384"/>
    </sheetView>
  </sheetViews>
  <sheetFormatPr defaultColWidth="6.8515625" defaultRowHeight="15"/>
  <cols>
    <col min="1" max="1" width="47.140625" style="122" customWidth="1"/>
    <col min="2" max="2" width="8.421875" style="122" customWidth="1"/>
    <col min="3" max="3" width="6.421875" style="122" customWidth="1"/>
    <col min="4" max="4" width="6.8515625" style="122" customWidth="1"/>
    <col min="5" max="5" width="10.140625" style="122" customWidth="1"/>
    <col min="6" max="10" width="4.140625" style="122" customWidth="1"/>
    <col min="11" max="11" width="5.28125" style="122" customWidth="1"/>
    <col min="12" max="13" width="4.140625" style="122" customWidth="1"/>
    <col min="14" max="14" width="5.421875" style="122" customWidth="1"/>
    <col min="15" max="15" width="6.140625" style="122" customWidth="1"/>
    <col min="16" max="17" width="10.421875" style="122" customWidth="1"/>
    <col min="18" max="18" width="8.57421875" style="122" customWidth="1"/>
    <col min="19" max="21" width="10.421875" style="122" customWidth="1"/>
    <col min="22" max="16384" width="6.8515625" style="122" customWidth="1"/>
  </cols>
  <sheetData>
    <row r="1" ht="21">
      <c r="N1" s="295"/>
    </row>
    <row r="2" spans="1:21" ht="23.25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ht="23.25">
      <c r="A3" s="371" t="s">
        <v>590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</row>
    <row r="4" spans="1:20" ht="23.25">
      <c r="A4" s="372" t="s">
        <v>591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</row>
    <row r="5" spans="1:23" s="204" customFormat="1" ht="132.75" customHeight="1">
      <c r="A5" s="373" t="s">
        <v>3</v>
      </c>
      <c r="B5" s="367" t="s">
        <v>4</v>
      </c>
      <c r="C5" s="375" t="s">
        <v>5</v>
      </c>
      <c r="D5" s="376"/>
      <c r="E5" s="367" t="s">
        <v>357</v>
      </c>
      <c r="F5" s="375" t="s">
        <v>6</v>
      </c>
      <c r="G5" s="379"/>
      <c r="H5" s="379"/>
      <c r="I5" s="379"/>
      <c r="J5" s="379"/>
      <c r="K5" s="379"/>
      <c r="L5" s="379"/>
      <c r="M5" s="376"/>
      <c r="N5" s="375" t="s">
        <v>7</v>
      </c>
      <c r="O5" s="376"/>
      <c r="P5" s="367" t="s">
        <v>8</v>
      </c>
      <c r="Q5" s="367" t="s">
        <v>9</v>
      </c>
      <c r="R5" s="367" t="s">
        <v>10</v>
      </c>
      <c r="S5" s="367" t="s">
        <v>11</v>
      </c>
      <c r="T5" s="367" t="s">
        <v>12</v>
      </c>
      <c r="U5" s="367" t="s">
        <v>13</v>
      </c>
      <c r="V5" s="203"/>
      <c r="W5" s="203"/>
    </row>
    <row r="6" spans="1:23" s="204" customFormat="1" ht="28.5" customHeight="1">
      <c r="A6" s="374"/>
      <c r="B6" s="368"/>
      <c r="C6" s="377"/>
      <c r="D6" s="378"/>
      <c r="E6" s="369"/>
      <c r="F6" s="401" t="s">
        <v>14</v>
      </c>
      <c r="G6" s="401"/>
      <c r="H6" s="401" t="s">
        <v>15</v>
      </c>
      <c r="I6" s="401"/>
      <c r="J6" s="401" t="s">
        <v>16</v>
      </c>
      <c r="K6" s="401"/>
      <c r="L6" s="401" t="s">
        <v>17</v>
      </c>
      <c r="M6" s="401"/>
      <c r="N6" s="377"/>
      <c r="O6" s="378"/>
      <c r="P6" s="368"/>
      <c r="Q6" s="368"/>
      <c r="R6" s="368"/>
      <c r="S6" s="368"/>
      <c r="T6" s="368"/>
      <c r="U6" s="368"/>
      <c r="V6" s="203"/>
      <c r="W6" s="203"/>
    </row>
    <row r="7" spans="1:21" s="204" customFormat="1" ht="24" customHeight="1">
      <c r="A7" s="374"/>
      <c r="B7" s="369"/>
      <c r="C7" s="123" t="s">
        <v>18</v>
      </c>
      <c r="D7" s="123" t="s">
        <v>19</v>
      </c>
      <c r="E7" s="124" t="s">
        <v>20</v>
      </c>
      <c r="F7" s="123" t="s">
        <v>18</v>
      </c>
      <c r="G7" s="123" t="s">
        <v>19</v>
      </c>
      <c r="H7" s="123" t="s">
        <v>18</v>
      </c>
      <c r="I7" s="123" t="s">
        <v>19</v>
      </c>
      <c r="J7" s="123" t="s">
        <v>18</v>
      </c>
      <c r="K7" s="123" t="s">
        <v>19</v>
      </c>
      <c r="L7" s="123" t="s">
        <v>18</v>
      </c>
      <c r="M7" s="123" t="s">
        <v>19</v>
      </c>
      <c r="N7" s="123" t="s">
        <v>18</v>
      </c>
      <c r="O7" s="123" t="s">
        <v>19</v>
      </c>
      <c r="P7" s="369"/>
      <c r="Q7" s="369"/>
      <c r="R7" s="369"/>
      <c r="S7" s="369"/>
      <c r="T7" s="369"/>
      <c r="U7" s="369"/>
    </row>
    <row r="8" spans="1:21" s="204" customFormat="1" ht="24" customHeight="1">
      <c r="A8" s="125" t="s">
        <v>22</v>
      </c>
      <c r="B8" s="364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6"/>
    </row>
    <row r="9" spans="1:21" s="207" customFormat="1" ht="26.25" customHeight="1">
      <c r="A9" s="126" t="s">
        <v>23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185"/>
      <c r="R9" s="185"/>
      <c r="S9" s="185"/>
      <c r="T9" s="185"/>
      <c r="U9" s="185"/>
    </row>
    <row r="10" spans="1:21" s="165" customFormat="1" ht="21">
      <c r="A10" s="297" t="s">
        <v>592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</row>
    <row r="11" spans="1:21" s="165" customFormat="1" ht="21">
      <c r="A11" s="299" t="s">
        <v>593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>
        <v>145800</v>
      </c>
      <c r="R11" s="300">
        <v>48600</v>
      </c>
      <c r="S11" s="300">
        <v>48600</v>
      </c>
      <c r="T11" s="300"/>
      <c r="U11" s="300"/>
    </row>
    <row r="12" spans="1:21" s="165" customFormat="1" ht="42">
      <c r="A12" s="136" t="s">
        <v>594</v>
      </c>
      <c r="B12" s="130">
        <v>27</v>
      </c>
      <c r="C12" s="130">
        <v>17</v>
      </c>
      <c r="D12" s="130">
        <v>10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69">
        <v>24300</v>
      </c>
      <c r="S12" s="130">
        <v>24300</v>
      </c>
      <c r="T12" s="130"/>
      <c r="U12" s="130"/>
    </row>
    <row r="13" spans="1:21" s="165" customFormat="1" ht="21">
      <c r="A13" s="136" t="s">
        <v>595</v>
      </c>
      <c r="B13" s="130"/>
      <c r="C13" s="130">
        <v>27</v>
      </c>
      <c r="D13" s="130">
        <v>0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69">
        <v>24300</v>
      </c>
      <c r="S13" s="130">
        <v>24300</v>
      </c>
      <c r="T13" s="130"/>
      <c r="U13" s="130"/>
    </row>
    <row r="14" spans="1:21" s="165" customFormat="1" ht="21">
      <c r="A14" s="136" t="s">
        <v>596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69"/>
      <c r="S14" s="130"/>
      <c r="T14" s="130"/>
      <c r="U14" s="130"/>
    </row>
    <row r="15" spans="1:21" s="165" customFormat="1" ht="21">
      <c r="A15" s="136" t="s">
        <v>597</v>
      </c>
      <c r="B15" s="130">
        <v>27</v>
      </c>
      <c r="C15" s="130">
        <v>3</v>
      </c>
      <c r="D15" s="130">
        <v>24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69">
        <v>16300</v>
      </c>
      <c r="S15" s="130">
        <v>16300</v>
      </c>
      <c r="T15" s="130"/>
      <c r="U15" s="130"/>
    </row>
    <row r="16" spans="1:21" s="165" customFormat="1" ht="21">
      <c r="A16" s="136" t="s">
        <v>598</v>
      </c>
      <c r="B16" s="130">
        <v>27</v>
      </c>
      <c r="C16" s="130">
        <v>11</v>
      </c>
      <c r="D16" s="130">
        <v>16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69">
        <v>16300</v>
      </c>
      <c r="S16" s="130">
        <v>16300</v>
      </c>
      <c r="T16" s="130"/>
      <c r="U16" s="130"/>
    </row>
    <row r="17" spans="1:21" s="165" customFormat="1" ht="21">
      <c r="A17" s="136" t="s">
        <v>599</v>
      </c>
      <c r="B17" s="130">
        <v>27</v>
      </c>
      <c r="C17" s="130">
        <v>16</v>
      </c>
      <c r="D17" s="130">
        <v>11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69">
        <v>16300</v>
      </c>
      <c r="S17" s="130">
        <v>16300</v>
      </c>
      <c r="T17" s="130"/>
      <c r="U17" s="130"/>
    </row>
    <row r="18" spans="1:21" s="165" customFormat="1" ht="21">
      <c r="A18" s="136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69"/>
      <c r="S18" s="130"/>
      <c r="T18" s="130"/>
      <c r="U18" s="130"/>
    </row>
    <row r="19" spans="1:21" s="165" customFormat="1" ht="21">
      <c r="A19" s="136" t="s">
        <v>361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</row>
    <row r="20" spans="1:21" s="165" customFormat="1" ht="21">
      <c r="A20" s="297" t="s">
        <v>600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>
        <v>10120</v>
      </c>
      <c r="R20" s="300"/>
      <c r="S20" s="300"/>
      <c r="T20" s="300"/>
      <c r="U20" s="300"/>
    </row>
    <row r="21" spans="1:21" s="165" customFormat="1" ht="21">
      <c r="A21" s="136" t="s">
        <v>601</v>
      </c>
      <c r="B21" s="130"/>
      <c r="C21" s="130">
        <v>5</v>
      </c>
      <c r="D21" s="130">
        <v>27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>
        <v>1686</v>
      </c>
      <c r="S21" s="130">
        <v>1686</v>
      </c>
      <c r="T21" s="130">
        <v>1686</v>
      </c>
      <c r="U21" s="130">
        <v>1686</v>
      </c>
    </row>
    <row r="22" spans="1:21" s="165" customFormat="1" ht="21">
      <c r="A22" s="136" t="s">
        <v>602</v>
      </c>
      <c r="B22" s="130">
        <v>20</v>
      </c>
      <c r="C22" s="130">
        <v>5</v>
      </c>
      <c r="D22" s="130">
        <v>15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>
        <v>1600</v>
      </c>
      <c r="S22" s="130">
        <v>1600</v>
      </c>
      <c r="T22" s="130">
        <v>1600</v>
      </c>
      <c r="U22" s="130">
        <v>1600</v>
      </c>
    </row>
    <row r="23" spans="1:21" s="165" customFormat="1" ht="21">
      <c r="A23" s="136" t="s">
        <v>603</v>
      </c>
      <c r="B23" s="130"/>
      <c r="C23" s="130">
        <v>4</v>
      </c>
      <c r="D23" s="130">
        <v>31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>
        <v>1686</v>
      </c>
      <c r="S23" s="130">
        <v>1686</v>
      </c>
      <c r="T23" s="130">
        <v>1686</v>
      </c>
      <c r="U23" s="130">
        <v>1686</v>
      </c>
    </row>
    <row r="24" spans="1:21" ht="21">
      <c r="A24" s="145" t="s">
        <v>604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>
        <v>1686</v>
      </c>
      <c r="S24" s="149">
        <v>1686</v>
      </c>
      <c r="T24" s="149">
        <v>1686</v>
      </c>
      <c r="U24" s="149">
        <v>1686</v>
      </c>
    </row>
    <row r="25" spans="1:21" ht="21">
      <c r="A25" s="145" t="s">
        <v>605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</row>
    <row r="26" spans="1:21" ht="42">
      <c r="A26" s="145" t="s">
        <v>606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</row>
    <row r="27" spans="1:21" ht="21">
      <c r="A27" s="145" t="s">
        <v>607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>
        <v>1772</v>
      </c>
      <c r="S27" s="149">
        <v>1772</v>
      </c>
      <c r="T27" s="149">
        <v>1772</v>
      </c>
      <c r="U27" s="149">
        <v>1772</v>
      </c>
    </row>
    <row r="28" spans="1:21" ht="21">
      <c r="A28" s="145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</row>
    <row r="29" spans="1:21" ht="21">
      <c r="A29" s="145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</row>
    <row r="30" spans="1:21" ht="21">
      <c r="A30" s="145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</row>
    <row r="31" spans="1:21" s="165" customFormat="1" ht="21">
      <c r="A31" s="297" t="s">
        <v>608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>
        <v>45000</v>
      </c>
      <c r="R31" s="300"/>
      <c r="S31" s="300"/>
      <c r="T31" s="300"/>
      <c r="U31" s="300"/>
    </row>
    <row r="32" spans="1:21" s="165" customFormat="1" ht="21">
      <c r="A32" s="136" t="s">
        <v>609</v>
      </c>
      <c r="B32" s="130">
        <v>6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>
        <v>5500</v>
      </c>
      <c r="R32" s="130">
        <v>5500</v>
      </c>
      <c r="S32" s="130">
        <v>5500</v>
      </c>
      <c r="T32" s="130">
        <v>5500</v>
      </c>
      <c r="U32" s="130">
        <v>5500</v>
      </c>
    </row>
    <row r="33" spans="1:21" s="165" customFormat="1" ht="21">
      <c r="A33" s="136" t="s">
        <v>610</v>
      </c>
      <c r="B33" s="130">
        <v>35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>
        <v>5500</v>
      </c>
      <c r="R33" s="130">
        <v>5500</v>
      </c>
      <c r="S33" s="130">
        <v>5500</v>
      </c>
      <c r="T33" s="130">
        <v>5500</v>
      </c>
      <c r="U33" s="130">
        <v>5500</v>
      </c>
    </row>
    <row r="34" spans="1:21" s="165" customFormat="1" ht="21">
      <c r="A34" s="136" t="s">
        <v>611</v>
      </c>
      <c r="B34" s="130"/>
      <c r="C34" s="130"/>
      <c r="D34" s="130"/>
      <c r="E34" s="130"/>
      <c r="F34" s="149"/>
      <c r="G34" s="149"/>
      <c r="H34" s="149"/>
      <c r="I34" s="149"/>
      <c r="J34" s="149"/>
      <c r="K34" s="149"/>
      <c r="L34" s="149"/>
      <c r="M34" s="149"/>
      <c r="N34" s="130"/>
      <c r="O34" s="130"/>
      <c r="P34" s="130"/>
      <c r="Q34" s="130"/>
      <c r="R34" s="130"/>
      <c r="S34" s="130"/>
      <c r="T34" s="130"/>
      <c r="U34" s="130"/>
    </row>
    <row r="35" spans="1:21" s="165" customFormat="1" ht="21">
      <c r="A35" s="136" t="s">
        <v>612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>
        <v>3000</v>
      </c>
      <c r="R35" s="130">
        <v>3000</v>
      </c>
      <c r="S35" s="130">
        <v>3000</v>
      </c>
      <c r="T35" s="130">
        <v>3000</v>
      </c>
      <c r="U35" s="130">
        <v>3000</v>
      </c>
    </row>
    <row r="36" spans="1:21" s="165" customFormat="1" ht="21">
      <c r="A36" s="136" t="s">
        <v>613</v>
      </c>
      <c r="B36" s="130">
        <v>39</v>
      </c>
      <c r="C36" s="130">
        <v>5</v>
      </c>
      <c r="D36" s="130">
        <v>34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>
        <v>1500</v>
      </c>
      <c r="R36" s="130">
        <v>1500</v>
      </c>
      <c r="S36" s="130">
        <v>1500</v>
      </c>
      <c r="T36" s="130">
        <v>1500</v>
      </c>
      <c r="U36" s="130">
        <v>1500</v>
      </c>
    </row>
    <row r="37" spans="1:21" s="165" customFormat="1" ht="21">
      <c r="A37" s="136" t="s">
        <v>614</v>
      </c>
      <c r="B37" s="130">
        <v>35</v>
      </c>
      <c r="C37" s="130">
        <v>21</v>
      </c>
      <c r="D37" s="130">
        <v>24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4500</v>
      </c>
      <c r="R37" s="130">
        <v>4500</v>
      </c>
      <c r="S37" s="130">
        <v>4500</v>
      </c>
      <c r="T37" s="130">
        <v>4500</v>
      </c>
      <c r="U37" s="130">
        <v>4500</v>
      </c>
    </row>
    <row r="38" spans="1:21" s="165" customFormat="1" ht="21">
      <c r="A38" s="136" t="s">
        <v>615</v>
      </c>
      <c r="B38" s="130">
        <v>30</v>
      </c>
      <c r="C38" s="130">
        <v>20</v>
      </c>
      <c r="D38" s="130">
        <v>10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>
        <v>19</v>
      </c>
      <c r="O38" s="130">
        <v>11</v>
      </c>
      <c r="P38" s="130"/>
      <c r="Q38" s="130">
        <v>7500</v>
      </c>
      <c r="R38" s="130">
        <v>7500</v>
      </c>
      <c r="S38" s="130">
        <v>7500</v>
      </c>
      <c r="T38" s="130">
        <v>7500</v>
      </c>
      <c r="U38" s="130">
        <v>7500</v>
      </c>
    </row>
    <row r="39" spans="1:21" s="165" customFormat="1" ht="21">
      <c r="A39" s="136" t="s">
        <v>616</v>
      </c>
      <c r="B39" s="130">
        <v>9</v>
      </c>
      <c r="C39" s="130">
        <v>9</v>
      </c>
      <c r="D39" s="130">
        <v>0</v>
      </c>
      <c r="E39" s="130"/>
      <c r="F39" s="130"/>
      <c r="G39" s="130"/>
      <c r="H39" s="130"/>
      <c r="I39" s="130"/>
      <c r="J39" s="130">
        <v>9</v>
      </c>
      <c r="K39" s="130"/>
      <c r="L39" s="130"/>
      <c r="M39" s="130"/>
      <c r="N39" s="130">
        <v>9</v>
      </c>
      <c r="O39" s="130">
        <v>0</v>
      </c>
      <c r="P39" s="130"/>
      <c r="Q39" s="130"/>
      <c r="R39" s="130"/>
      <c r="S39" s="130"/>
      <c r="T39" s="130"/>
      <c r="U39" s="130"/>
    </row>
    <row r="40" spans="1:21" s="165" customFormat="1" ht="21">
      <c r="A40" s="136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</row>
    <row r="41" spans="1:21" s="165" customFormat="1" ht="21">
      <c r="A41" s="136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  <row r="42" spans="1:21" s="165" customFormat="1" ht="21">
      <c r="A42" s="297" t="s">
        <v>617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>
        <v>20000</v>
      </c>
      <c r="R42" s="300">
        <v>6668</v>
      </c>
      <c r="S42" s="300">
        <v>6668</v>
      </c>
      <c r="T42" s="300"/>
      <c r="U42" s="300"/>
    </row>
    <row r="43" spans="1:21" s="165" customFormat="1" ht="21">
      <c r="A43" s="129" t="s">
        <v>618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>
        <v>3168</v>
      </c>
      <c r="S43" s="130">
        <v>3168</v>
      </c>
      <c r="T43" s="130"/>
      <c r="U43" s="130"/>
    </row>
    <row r="44" spans="1:21" s="165" customFormat="1" ht="21">
      <c r="A44" s="129" t="s">
        <v>619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>
        <v>3500</v>
      </c>
      <c r="S44" s="130">
        <v>3500</v>
      </c>
      <c r="T44" s="130"/>
      <c r="U44" s="130"/>
    </row>
    <row r="45" spans="1:21" s="165" customFormat="1" ht="21">
      <c r="A45" s="159" t="s">
        <v>620</v>
      </c>
      <c r="B45" s="130">
        <v>30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>
        <v>47</v>
      </c>
      <c r="O45" s="130">
        <v>43</v>
      </c>
      <c r="P45" s="130"/>
      <c r="Q45" s="130"/>
      <c r="R45" s="130"/>
      <c r="S45" s="130"/>
      <c r="T45" s="130"/>
      <c r="U45" s="130"/>
    </row>
    <row r="46" spans="1:21" s="165" customFormat="1" ht="21">
      <c r="A46" s="159" t="s">
        <v>621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>
        <v>26</v>
      </c>
      <c r="O46" s="130">
        <v>28</v>
      </c>
      <c r="P46" s="130"/>
      <c r="Q46" s="130"/>
      <c r="R46" s="130">
        <v>3352</v>
      </c>
      <c r="S46" s="130">
        <v>3352</v>
      </c>
      <c r="T46" s="130"/>
      <c r="U46" s="130"/>
    </row>
    <row r="47" spans="1:21" s="165" customFormat="1" ht="21">
      <c r="A47" s="159" t="s">
        <v>622</v>
      </c>
      <c r="B47" s="130">
        <v>20</v>
      </c>
      <c r="C47" s="130">
        <v>10</v>
      </c>
      <c r="D47" s="130">
        <v>10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>
        <v>10</v>
      </c>
      <c r="O47" s="130">
        <v>10</v>
      </c>
      <c r="P47" s="130"/>
      <c r="Q47" s="130"/>
      <c r="R47" s="130">
        <v>3200</v>
      </c>
      <c r="S47" s="130">
        <v>3200</v>
      </c>
      <c r="T47" s="130"/>
      <c r="U47" s="130"/>
    </row>
    <row r="48" spans="1:21" s="165" customFormat="1" ht="21">
      <c r="A48" s="159" t="s">
        <v>623</v>
      </c>
      <c r="B48" s="130">
        <v>15</v>
      </c>
      <c r="C48" s="130">
        <v>7</v>
      </c>
      <c r="D48" s="130">
        <v>8</v>
      </c>
      <c r="E48" s="130"/>
      <c r="F48" s="130"/>
      <c r="G48" s="130"/>
      <c r="H48" s="130"/>
      <c r="I48" s="130"/>
      <c r="J48" s="130">
        <v>7</v>
      </c>
      <c r="K48" s="130">
        <v>8</v>
      </c>
      <c r="L48" s="130"/>
      <c r="M48" s="130"/>
      <c r="N48" s="130">
        <v>7</v>
      </c>
      <c r="O48" s="130">
        <v>8</v>
      </c>
      <c r="P48" s="130"/>
      <c r="Q48" s="130"/>
      <c r="R48" s="130">
        <v>3333</v>
      </c>
      <c r="S48" s="130">
        <v>3333</v>
      </c>
      <c r="T48" s="130">
        <v>3333</v>
      </c>
      <c r="U48" s="130">
        <v>3333</v>
      </c>
    </row>
    <row r="49" spans="1:21" s="165" customFormat="1" ht="21">
      <c r="A49" s="159" t="s">
        <v>624</v>
      </c>
      <c r="B49" s="130">
        <v>15</v>
      </c>
      <c r="C49" s="130">
        <v>8</v>
      </c>
      <c r="D49" s="130">
        <v>7</v>
      </c>
      <c r="E49" s="130"/>
      <c r="F49" s="130"/>
      <c r="G49" s="130"/>
      <c r="H49" s="130"/>
      <c r="I49" s="130"/>
      <c r="J49" s="130">
        <v>8</v>
      </c>
      <c r="K49" s="130">
        <v>7</v>
      </c>
      <c r="L49" s="130"/>
      <c r="M49" s="130"/>
      <c r="N49" s="130">
        <v>8</v>
      </c>
      <c r="O49" s="130">
        <v>7</v>
      </c>
      <c r="P49" s="130"/>
      <c r="Q49" s="130"/>
      <c r="R49" s="130">
        <v>3333</v>
      </c>
      <c r="S49" s="130">
        <v>3333</v>
      </c>
      <c r="T49" s="130">
        <v>3333</v>
      </c>
      <c r="U49" s="130">
        <v>3333</v>
      </c>
    </row>
    <row r="50" spans="1:21" s="165" customFormat="1" ht="21">
      <c r="A50" s="159" t="s">
        <v>625</v>
      </c>
      <c r="B50" s="130">
        <v>20</v>
      </c>
      <c r="C50" s="130">
        <v>6</v>
      </c>
      <c r="D50" s="130">
        <v>14</v>
      </c>
      <c r="E50" s="130"/>
      <c r="F50" s="130"/>
      <c r="G50" s="130"/>
      <c r="H50" s="130"/>
      <c r="I50" s="130"/>
      <c r="J50" s="130">
        <v>6</v>
      </c>
      <c r="K50" s="130">
        <v>14</v>
      </c>
      <c r="L50" s="130"/>
      <c r="M50" s="130"/>
      <c r="N50" s="130">
        <v>6</v>
      </c>
      <c r="O50" s="130">
        <v>14</v>
      </c>
      <c r="P50" s="130"/>
      <c r="Q50" s="130"/>
      <c r="R50" s="130">
        <v>3333</v>
      </c>
      <c r="S50" s="130">
        <v>3333</v>
      </c>
      <c r="T50" s="130">
        <v>3333</v>
      </c>
      <c r="U50" s="130">
        <v>3333</v>
      </c>
    </row>
    <row r="51" spans="1:21" s="165" customFormat="1" ht="21">
      <c r="A51" s="159" t="s">
        <v>626</v>
      </c>
      <c r="B51" s="130">
        <v>18</v>
      </c>
      <c r="C51" s="130">
        <v>3</v>
      </c>
      <c r="D51" s="130">
        <v>15</v>
      </c>
      <c r="E51" s="130"/>
      <c r="F51" s="130"/>
      <c r="G51" s="130"/>
      <c r="H51" s="130"/>
      <c r="I51" s="130"/>
      <c r="J51" s="130">
        <v>3</v>
      </c>
      <c r="K51" s="130">
        <v>15</v>
      </c>
      <c r="L51" s="130"/>
      <c r="M51" s="130"/>
      <c r="N51" s="130">
        <v>3</v>
      </c>
      <c r="O51" s="130">
        <v>15</v>
      </c>
      <c r="P51" s="130"/>
      <c r="Q51" s="130"/>
      <c r="R51" s="130">
        <v>3333</v>
      </c>
      <c r="S51" s="130">
        <v>3333</v>
      </c>
      <c r="T51" s="130">
        <v>3333</v>
      </c>
      <c r="U51" s="130">
        <v>3333</v>
      </c>
    </row>
    <row r="52" spans="1:21" s="165" customFormat="1" ht="21">
      <c r="A52" s="15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</row>
    <row r="53" spans="1:21" s="165" customFormat="1" ht="21">
      <c r="A53" s="129" t="s">
        <v>49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</row>
    <row r="54" spans="1:21" s="165" customFormat="1" ht="21">
      <c r="A54" s="129" t="s">
        <v>50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</row>
    <row r="55" spans="1:21" ht="21">
      <c r="A55" s="162" t="s">
        <v>52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49"/>
      <c r="P55" s="149"/>
      <c r="Q55" s="149"/>
      <c r="R55" s="149"/>
      <c r="S55" s="149"/>
      <c r="T55" s="149"/>
      <c r="U55" s="149"/>
    </row>
    <row r="56" spans="1:21" s="165" customFormat="1" ht="21">
      <c r="A56" s="129" t="s">
        <v>53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</row>
    <row r="57" spans="1:21" s="165" customFormat="1" ht="21">
      <c r="A57" s="129" t="s">
        <v>54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</row>
    <row r="58" spans="1:21" s="165" customFormat="1" ht="21">
      <c r="A58" s="129" t="s">
        <v>55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</row>
    <row r="59" spans="1:21" s="165" customFormat="1" ht="21">
      <c r="A59" s="129" t="s">
        <v>56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</row>
    <row r="60" spans="1:21" ht="42">
      <c r="A60" s="162" t="s">
        <v>57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49"/>
      <c r="P60" s="149"/>
      <c r="Q60" s="149"/>
      <c r="R60" s="149"/>
      <c r="S60" s="149"/>
      <c r="T60" s="149"/>
      <c r="U60" s="149"/>
    </row>
    <row r="61" spans="1:21" s="165" customFormat="1" ht="21">
      <c r="A61" s="164" t="s">
        <v>58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</row>
    <row r="62" spans="1:21" s="165" customFormat="1" ht="21">
      <c r="A62" s="129" t="s">
        <v>59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</row>
    <row r="63" spans="1:21" s="165" customFormat="1" ht="21">
      <c r="A63" s="129" t="s">
        <v>60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</row>
    <row r="64" spans="1:21" s="165" customFormat="1" ht="21">
      <c r="A64" s="129" t="s">
        <v>61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</row>
    <row r="65" spans="1:21" s="165" customFormat="1" ht="21">
      <c r="A65" s="164" t="s">
        <v>62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</row>
    <row r="66" spans="1:21" ht="21" thickBot="1">
      <c r="A66" s="166" t="s">
        <v>63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49"/>
      <c r="P66" s="149"/>
      <c r="Q66" s="149"/>
      <c r="R66" s="149"/>
      <c r="S66" s="149"/>
      <c r="T66" s="149"/>
      <c r="U66" s="149"/>
    </row>
    <row r="67" spans="1:21" s="165" customFormat="1" ht="21" thickBot="1">
      <c r="A67" s="301" t="s">
        <v>627</v>
      </c>
      <c r="B67" s="302">
        <v>18500</v>
      </c>
      <c r="C67" s="303">
        <v>4206</v>
      </c>
      <c r="D67" s="303">
        <v>7750</v>
      </c>
      <c r="E67" s="304">
        <v>11956</v>
      </c>
      <c r="F67" s="305">
        <v>42</v>
      </c>
      <c r="G67" s="305">
        <v>31</v>
      </c>
      <c r="H67" s="305">
        <v>324</v>
      </c>
      <c r="I67" s="305">
        <v>384</v>
      </c>
      <c r="J67" s="305">
        <v>138</v>
      </c>
      <c r="K67" s="305">
        <v>382</v>
      </c>
      <c r="L67" s="305">
        <v>8</v>
      </c>
      <c r="M67" s="305">
        <v>12</v>
      </c>
      <c r="N67" s="306">
        <v>512</v>
      </c>
      <c r="O67" s="306">
        <v>809</v>
      </c>
      <c r="P67" s="306">
        <v>71.76</v>
      </c>
      <c r="Q67" s="130"/>
      <c r="R67" s="130"/>
      <c r="S67" s="130"/>
      <c r="T67" s="130"/>
      <c r="U67" s="130"/>
    </row>
    <row r="68" spans="1:21" s="165" customFormat="1" ht="21" thickBot="1">
      <c r="A68" s="307" t="s">
        <v>628</v>
      </c>
      <c r="B68" s="308">
        <v>150</v>
      </c>
      <c r="C68" s="309">
        <v>454</v>
      </c>
      <c r="D68" s="309">
        <v>966</v>
      </c>
      <c r="E68" s="310">
        <v>1420</v>
      </c>
      <c r="F68" s="309" t="s">
        <v>629</v>
      </c>
      <c r="G68" s="309" t="s">
        <v>629</v>
      </c>
      <c r="H68" s="309">
        <v>3</v>
      </c>
      <c r="I68" s="309">
        <v>10</v>
      </c>
      <c r="J68" s="309" t="s">
        <v>629</v>
      </c>
      <c r="K68" s="309" t="s">
        <v>629</v>
      </c>
      <c r="L68" s="309" t="s">
        <v>629</v>
      </c>
      <c r="M68" s="309" t="s">
        <v>629</v>
      </c>
      <c r="N68" s="311">
        <v>3</v>
      </c>
      <c r="O68" s="311">
        <v>10</v>
      </c>
      <c r="P68" s="311"/>
      <c r="Q68" s="130"/>
      <c r="R68" s="130"/>
      <c r="S68" s="130"/>
      <c r="T68" s="130"/>
      <c r="U68" s="130"/>
    </row>
    <row r="69" spans="1:21" s="165" customFormat="1" ht="21" thickBot="1">
      <c r="A69" s="307" t="s">
        <v>630</v>
      </c>
      <c r="B69" s="312">
        <v>4500</v>
      </c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130"/>
      <c r="R69" s="130"/>
      <c r="S69" s="130"/>
      <c r="T69" s="130"/>
      <c r="U69" s="130"/>
    </row>
    <row r="70" spans="1:21" s="165" customFormat="1" ht="21" thickBot="1">
      <c r="A70" s="313" t="s">
        <v>631</v>
      </c>
      <c r="B70" s="311"/>
      <c r="C70" s="311"/>
      <c r="D70" s="311"/>
      <c r="E70" s="311"/>
      <c r="F70" s="309" t="s">
        <v>629</v>
      </c>
      <c r="G70" s="309" t="s">
        <v>629</v>
      </c>
      <c r="H70" s="309">
        <v>16</v>
      </c>
      <c r="I70" s="309">
        <v>22</v>
      </c>
      <c r="J70" s="309" t="s">
        <v>629</v>
      </c>
      <c r="K70" s="309" t="s">
        <v>629</v>
      </c>
      <c r="L70" s="309" t="s">
        <v>629</v>
      </c>
      <c r="M70" s="309" t="s">
        <v>629</v>
      </c>
      <c r="N70" s="311">
        <v>16</v>
      </c>
      <c r="O70" s="311">
        <v>22</v>
      </c>
      <c r="P70" s="311"/>
      <c r="Q70" s="130"/>
      <c r="R70" s="130"/>
      <c r="S70" s="130"/>
      <c r="T70" s="130"/>
      <c r="U70" s="130"/>
    </row>
    <row r="71" spans="1:21" s="165" customFormat="1" ht="42" thickBot="1">
      <c r="A71" s="313" t="s">
        <v>632</v>
      </c>
      <c r="B71" s="311"/>
      <c r="C71" s="311"/>
      <c r="D71" s="311"/>
      <c r="E71" s="311"/>
      <c r="F71" s="309">
        <v>25</v>
      </c>
      <c r="G71" s="309">
        <v>55</v>
      </c>
      <c r="H71" s="309" t="s">
        <v>629</v>
      </c>
      <c r="I71" s="309" t="s">
        <v>629</v>
      </c>
      <c r="J71" s="309" t="s">
        <v>629</v>
      </c>
      <c r="K71" s="309" t="s">
        <v>629</v>
      </c>
      <c r="L71" s="309" t="s">
        <v>629</v>
      </c>
      <c r="M71" s="309" t="s">
        <v>629</v>
      </c>
      <c r="N71" s="311">
        <v>25</v>
      </c>
      <c r="O71" s="311">
        <v>55</v>
      </c>
      <c r="P71" s="311"/>
      <c r="Q71" s="130"/>
      <c r="R71" s="130"/>
      <c r="S71" s="130"/>
      <c r="T71" s="130"/>
      <c r="U71" s="130"/>
    </row>
    <row r="72" spans="1:21" s="165" customFormat="1" ht="21" thickBot="1">
      <c r="A72" s="313" t="s">
        <v>633</v>
      </c>
      <c r="B72" s="311"/>
      <c r="C72" s="311"/>
      <c r="D72" s="311"/>
      <c r="E72" s="311"/>
      <c r="F72" s="309">
        <v>25</v>
      </c>
      <c r="G72" s="309">
        <v>55</v>
      </c>
      <c r="H72" s="309" t="s">
        <v>629</v>
      </c>
      <c r="I72" s="309" t="s">
        <v>629</v>
      </c>
      <c r="J72" s="309" t="s">
        <v>629</v>
      </c>
      <c r="K72" s="309" t="s">
        <v>629</v>
      </c>
      <c r="L72" s="309" t="s">
        <v>629</v>
      </c>
      <c r="M72" s="309" t="s">
        <v>629</v>
      </c>
      <c r="N72" s="311">
        <v>25</v>
      </c>
      <c r="O72" s="311">
        <v>55</v>
      </c>
      <c r="P72" s="311"/>
      <c r="Q72" s="130"/>
      <c r="R72" s="130"/>
      <c r="S72" s="130"/>
      <c r="T72" s="130"/>
      <c r="U72" s="130"/>
    </row>
    <row r="73" spans="1:21" s="165" customFormat="1" ht="21" thickBot="1">
      <c r="A73" s="313" t="s">
        <v>634</v>
      </c>
      <c r="B73" s="311"/>
      <c r="C73" s="311"/>
      <c r="D73" s="311"/>
      <c r="E73" s="311"/>
      <c r="F73" s="309">
        <v>18</v>
      </c>
      <c r="G73" s="309">
        <v>24</v>
      </c>
      <c r="H73" s="309">
        <v>28</v>
      </c>
      <c r="I73" s="309">
        <v>32</v>
      </c>
      <c r="J73" s="309">
        <v>27</v>
      </c>
      <c r="K73" s="309">
        <v>31</v>
      </c>
      <c r="L73" s="309" t="s">
        <v>629</v>
      </c>
      <c r="M73" s="309" t="s">
        <v>629</v>
      </c>
      <c r="N73" s="311">
        <v>73</v>
      </c>
      <c r="O73" s="311">
        <v>87</v>
      </c>
      <c r="P73" s="311"/>
      <c r="Q73" s="130"/>
      <c r="R73" s="130"/>
      <c r="S73" s="130"/>
      <c r="T73" s="130"/>
      <c r="U73" s="130"/>
    </row>
    <row r="74" spans="1:21" s="165" customFormat="1" ht="21">
      <c r="A74" s="314" t="s">
        <v>635</v>
      </c>
      <c r="B74" s="399"/>
      <c r="C74" s="399"/>
      <c r="D74" s="399"/>
      <c r="E74" s="399"/>
      <c r="F74" s="393">
        <v>19</v>
      </c>
      <c r="G74" s="393">
        <v>18</v>
      </c>
      <c r="H74" s="393">
        <v>37</v>
      </c>
      <c r="I74" s="393">
        <v>40</v>
      </c>
      <c r="J74" s="393">
        <v>24</v>
      </c>
      <c r="K74" s="393">
        <v>33</v>
      </c>
      <c r="L74" s="393" t="s">
        <v>629</v>
      </c>
      <c r="M74" s="393" t="s">
        <v>629</v>
      </c>
      <c r="N74" s="399">
        <v>80</v>
      </c>
      <c r="O74" s="399">
        <v>91</v>
      </c>
      <c r="P74" s="399"/>
      <c r="Q74" s="130"/>
      <c r="R74" s="130"/>
      <c r="S74" s="130"/>
      <c r="T74" s="130"/>
      <c r="U74" s="130"/>
    </row>
    <row r="75" spans="1:21" s="165" customFormat="1" ht="21" thickBot="1">
      <c r="A75" s="313" t="s">
        <v>112</v>
      </c>
      <c r="B75" s="400"/>
      <c r="C75" s="400"/>
      <c r="D75" s="400"/>
      <c r="E75" s="400"/>
      <c r="F75" s="394"/>
      <c r="G75" s="394"/>
      <c r="H75" s="394"/>
      <c r="I75" s="394"/>
      <c r="J75" s="394"/>
      <c r="K75" s="394"/>
      <c r="L75" s="394"/>
      <c r="M75" s="394"/>
      <c r="N75" s="400"/>
      <c r="O75" s="400"/>
      <c r="P75" s="400"/>
      <c r="Q75" s="130"/>
      <c r="R75" s="130"/>
      <c r="S75" s="130"/>
      <c r="T75" s="130"/>
      <c r="U75" s="130"/>
    </row>
    <row r="76" spans="1:21" ht="21" thickBot="1">
      <c r="A76" s="301" t="s">
        <v>636</v>
      </c>
      <c r="B76" s="315"/>
      <c r="C76" s="305"/>
      <c r="D76" s="305"/>
      <c r="E76" s="305"/>
      <c r="F76" s="305" t="s">
        <v>629</v>
      </c>
      <c r="G76" s="305">
        <v>3</v>
      </c>
      <c r="H76" s="305">
        <v>16</v>
      </c>
      <c r="I76" s="305">
        <v>20</v>
      </c>
      <c r="J76" s="305" t="s">
        <v>629</v>
      </c>
      <c r="K76" s="305" t="s">
        <v>629</v>
      </c>
      <c r="L76" s="305" t="s">
        <v>629</v>
      </c>
      <c r="M76" s="305" t="s">
        <v>629</v>
      </c>
      <c r="N76" s="305">
        <v>16</v>
      </c>
      <c r="O76" s="305">
        <v>23</v>
      </c>
      <c r="P76" s="316"/>
      <c r="Q76" s="316"/>
      <c r="R76" s="149"/>
      <c r="S76" s="149"/>
      <c r="T76" s="149"/>
      <c r="U76" s="149"/>
    </row>
    <row r="77" spans="1:21" ht="21">
      <c r="A77" s="395" t="s">
        <v>637</v>
      </c>
      <c r="B77" s="397"/>
      <c r="C77" s="395"/>
      <c r="D77" s="395"/>
      <c r="E77" s="395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5"/>
      <c r="Q77" s="395"/>
      <c r="R77" s="149"/>
      <c r="S77" s="149"/>
      <c r="T77" s="149"/>
      <c r="U77" s="149"/>
    </row>
    <row r="78" spans="1:21" ht="21" thickBot="1">
      <c r="A78" s="396"/>
      <c r="B78" s="398"/>
      <c r="C78" s="396"/>
      <c r="D78" s="396"/>
      <c r="E78" s="396"/>
      <c r="F78" s="394"/>
      <c r="G78" s="394"/>
      <c r="H78" s="394"/>
      <c r="I78" s="394"/>
      <c r="J78" s="394"/>
      <c r="K78" s="394"/>
      <c r="L78" s="394"/>
      <c r="M78" s="394"/>
      <c r="N78" s="394"/>
      <c r="O78" s="394"/>
      <c r="P78" s="396"/>
      <c r="Q78" s="396"/>
      <c r="R78" s="149"/>
      <c r="S78" s="149"/>
      <c r="T78" s="149"/>
      <c r="U78" s="149"/>
    </row>
    <row r="79" spans="1:21" ht="21" thickBot="1">
      <c r="A79" s="307" t="s">
        <v>638</v>
      </c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149"/>
      <c r="S79" s="149"/>
      <c r="T79" s="149"/>
      <c r="U79" s="149"/>
    </row>
    <row r="80" spans="1:21" ht="21" thickBot="1">
      <c r="A80" s="313" t="s">
        <v>639</v>
      </c>
      <c r="B80" s="317">
        <v>29000</v>
      </c>
      <c r="C80" s="317">
        <v>7403</v>
      </c>
      <c r="D80" s="309">
        <v>15680</v>
      </c>
      <c r="E80" s="310">
        <v>23083</v>
      </c>
      <c r="F80" s="309">
        <v>128</v>
      </c>
      <c r="G80" s="309">
        <v>134</v>
      </c>
      <c r="H80" s="309">
        <v>774</v>
      </c>
      <c r="I80" s="309">
        <v>921</v>
      </c>
      <c r="J80" s="309">
        <v>822</v>
      </c>
      <c r="K80" s="309">
        <v>953</v>
      </c>
      <c r="L80" s="309">
        <v>167</v>
      </c>
      <c r="M80" s="309">
        <v>164</v>
      </c>
      <c r="N80" s="310">
        <v>1889</v>
      </c>
      <c r="O80" s="310">
        <v>2204</v>
      </c>
      <c r="P80" s="311"/>
      <c r="Q80" s="311"/>
      <c r="R80" s="149"/>
      <c r="S80" s="149"/>
      <c r="T80" s="149"/>
      <c r="U80" s="149"/>
    </row>
    <row r="81" spans="1:21" ht="21" thickBot="1">
      <c r="A81" s="313" t="s">
        <v>640</v>
      </c>
      <c r="B81" s="317">
        <v>20500</v>
      </c>
      <c r="C81" s="317">
        <v>6089</v>
      </c>
      <c r="D81" s="317">
        <v>5128</v>
      </c>
      <c r="E81" s="310">
        <v>11217</v>
      </c>
      <c r="F81" s="309">
        <v>266</v>
      </c>
      <c r="G81" s="309">
        <v>267</v>
      </c>
      <c r="H81" s="309">
        <v>312</v>
      </c>
      <c r="I81" s="309">
        <v>306</v>
      </c>
      <c r="J81" s="309">
        <v>269</v>
      </c>
      <c r="K81" s="309">
        <v>285</v>
      </c>
      <c r="L81" s="309">
        <v>89</v>
      </c>
      <c r="M81" s="309">
        <v>102</v>
      </c>
      <c r="N81" s="311">
        <v>936</v>
      </c>
      <c r="O81" s="311">
        <v>960</v>
      </c>
      <c r="P81" s="311"/>
      <c r="Q81" s="311"/>
      <c r="R81" s="149"/>
      <c r="S81" s="149"/>
      <c r="T81" s="149"/>
      <c r="U81" s="149"/>
    </row>
    <row r="82" spans="1:21" ht="21" thickBot="1">
      <c r="A82" s="313" t="s">
        <v>641</v>
      </c>
      <c r="B82" s="317">
        <v>27000</v>
      </c>
      <c r="C82" s="317">
        <v>5073</v>
      </c>
      <c r="D82" s="317">
        <v>5465</v>
      </c>
      <c r="E82" s="310">
        <v>10538</v>
      </c>
      <c r="F82" s="309">
        <v>32</v>
      </c>
      <c r="G82" s="309">
        <v>27</v>
      </c>
      <c r="H82" s="309">
        <v>39</v>
      </c>
      <c r="I82" s="309">
        <v>41</v>
      </c>
      <c r="J82" s="309">
        <v>55</v>
      </c>
      <c r="K82" s="309">
        <v>37</v>
      </c>
      <c r="L82" s="309">
        <v>41</v>
      </c>
      <c r="M82" s="309">
        <v>46</v>
      </c>
      <c r="N82" s="311">
        <v>162</v>
      </c>
      <c r="O82" s="311">
        <v>161</v>
      </c>
      <c r="P82" s="311"/>
      <c r="Q82" s="311"/>
      <c r="R82" s="149"/>
      <c r="S82" s="149"/>
      <c r="T82" s="149"/>
      <c r="U82" s="149"/>
    </row>
    <row r="83" spans="1:21" ht="21" thickBot="1">
      <c r="A83" s="313" t="s">
        <v>642</v>
      </c>
      <c r="B83" s="317">
        <v>13000</v>
      </c>
      <c r="C83" s="309">
        <v>4475</v>
      </c>
      <c r="D83" s="309">
        <v>3969</v>
      </c>
      <c r="E83" s="310">
        <v>8444</v>
      </c>
      <c r="F83" s="309">
        <v>80</v>
      </c>
      <c r="G83" s="309">
        <v>60</v>
      </c>
      <c r="H83" s="309">
        <v>300</v>
      </c>
      <c r="I83" s="309">
        <v>193</v>
      </c>
      <c r="J83" s="309">
        <v>153</v>
      </c>
      <c r="K83" s="309">
        <v>253</v>
      </c>
      <c r="L83" s="309">
        <v>155</v>
      </c>
      <c r="M83" s="309">
        <v>95</v>
      </c>
      <c r="N83" s="311">
        <v>688</v>
      </c>
      <c r="O83" s="311">
        <v>601</v>
      </c>
      <c r="P83" s="311"/>
      <c r="Q83" s="311"/>
      <c r="R83" s="149"/>
      <c r="S83" s="149"/>
      <c r="T83" s="149"/>
      <c r="U83" s="149"/>
    </row>
    <row r="84" spans="1:21" ht="21" thickBot="1">
      <c r="A84" s="313" t="s">
        <v>643</v>
      </c>
      <c r="B84" s="317">
        <v>8400</v>
      </c>
      <c r="C84" s="309">
        <v>3100</v>
      </c>
      <c r="D84" s="309">
        <v>3201</v>
      </c>
      <c r="E84" s="317">
        <v>6321</v>
      </c>
      <c r="F84" s="309">
        <v>24</v>
      </c>
      <c r="G84" s="309">
        <v>22</v>
      </c>
      <c r="H84" s="309">
        <v>135</v>
      </c>
      <c r="I84" s="309">
        <v>130</v>
      </c>
      <c r="J84" s="309">
        <v>137</v>
      </c>
      <c r="K84" s="309">
        <v>130</v>
      </c>
      <c r="L84" s="309">
        <v>132</v>
      </c>
      <c r="M84" s="309">
        <v>124</v>
      </c>
      <c r="N84" s="311">
        <v>428</v>
      </c>
      <c r="O84" s="311">
        <v>406</v>
      </c>
      <c r="P84" s="311"/>
      <c r="Q84" s="311"/>
      <c r="R84" s="149"/>
      <c r="S84" s="149"/>
      <c r="T84" s="149"/>
      <c r="U84" s="149"/>
    </row>
    <row r="85" spans="1:21" ht="21" thickBot="1">
      <c r="A85" s="313" t="s">
        <v>644</v>
      </c>
      <c r="B85" s="317">
        <v>13000</v>
      </c>
      <c r="C85" s="317">
        <v>4301</v>
      </c>
      <c r="D85" s="317">
        <v>4420</v>
      </c>
      <c r="E85" s="310">
        <v>8721</v>
      </c>
      <c r="F85" s="309">
        <v>81</v>
      </c>
      <c r="G85" s="309">
        <v>106</v>
      </c>
      <c r="H85" s="309">
        <v>151</v>
      </c>
      <c r="I85" s="309">
        <v>161</v>
      </c>
      <c r="J85" s="309">
        <v>190</v>
      </c>
      <c r="K85" s="309">
        <v>233</v>
      </c>
      <c r="L85" s="309">
        <v>89</v>
      </c>
      <c r="M85" s="309">
        <v>75</v>
      </c>
      <c r="N85" s="311">
        <v>311</v>
      </c>
      <c r="O85" s="311">
        <v>575</v>
      </c>
      <c r="P85" s="311"/>
      <c r="Q85" s="311"/>
      <c r="R85" s="149"/>
      <c r="S85" s="149"/>
      <c r="T85" s="149"/>
      <c r="U85" s="149"/>
    </row>
    <row r="86" spans="1:21" ht="21">
      <c r="A86" s="193" t="s">
        <v>77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</row>
    <row r="87" spans="1:21" ht="21">
      <c r="A87" s="168" t="s">
        <v>78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49"/>
      <c r="P87" s="149"/>
      <c r="Q87" s="149"/>
      <c r="R87" s="149"/>
      <c r="S87" s="149"/>
      <c r="T87" s="149"/>
      <c r="U87" s="149"/>
    </row>
    <row r="88" spans="1:21" s="165" customFormat="1" ht="21">
      <c r="A88" s="168" t="s">
        <v>348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</row>
    <row r="89" spans="1:21" s="165" customFormat="1" ht="21">
      <c r="A89" s="168" t="s">
        <v>349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</row>
    <row r="90" spans="1:21" s="165" customFormat="1" ht="21">
      <c r="A90" s="168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</row>
    <row r="91" spans="1:21" ht="21">
      <c r="A91" s="168"/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</row>
    <row r="92" spans="1:21" ht="21">
      <c r="A92" s="145" t="s">
        <v>645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</row>
    <row r="93" spans="1:21" s="165" customFormat="1" ht="21">
      <c r="A93" s="168" t="s">
        <v>353</v>
      </c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</row>
    <row r="94" spans="1:21" s="165" customFormat="1" ht="21">
      <c r="A94" s="130" t="s">
        <v>86</v>
      </c>
      <c r="B94" s="130"/>
      <c r="C94" s="130"/>
      <c r="D94" s="130"/>
      <c r="E94" s="130"/>
      <c r="F94" s="130">
        <v>2</v>
      </c>
      <c r="G94" s="130">
        <v>0</v>
      </c>
      <c r="H94" s="130">
        <v>15</v>
      </c>
      <c r="I94" s="130">
        <v>6</v>
      </c>
      <c r="J94" s="130">
        <v>6</v>
      </c>
      <c r="K94" s="130">
        <v>4</v>
      </c>
      <c r="L94" s="130">
        <v>2</v>
      </c>
      <c r="M94" s="130">
        <v>0</v>
      </c>
      <c r="N94" s="130">
        <v>25</v>
      </c>
      <c r="O94" s="130">
        <v>10</v>
      </c>
      <c r="P94" s="130"/>
      <c r="Q94" s="130"/>
      <c r="R94" s="130"/>
      <c r="S94" s="130"/>
      <c r="T94" s="130"/>
      <c r="U94" s="130"/>
    </row>
    <row r="95" spans="1:21" s="165" customFormat="1" ht="21">
      <c r="A95" s="130" t="s">
        <v>87</v>
      </c>
      <c r="B95" s="130"/>
      <c r="C95" s="130"/>
      <c r="D95" s="130"/>
      <c r="E95" s="130"/>
      <c r="F95" s="130">
        <v>9</v>
      </c>
      <c r="G95" s="130">
        <v>1</v>
      </c>
      <c r="H95" s="130">
        <v>87</v>
      </c>
      <c r="I95" s="130">
        <v>75</v>
      </c>
      <c r="J95" s="130">
        <v>9</v>
      </c>
      <c r="K95" s="130">
        <v>6</v>
      </c>
      <c r="L95" s="130">
        <v>2</v>
      </c>
      <c r="M95" s="130">
        <v>0</v>
      </c>
      <c r="N95" s="130">
        <v>107</v>
      </c>
      <c r="O95" s="130">
        <v>82</v>
      </c>
      <c r="P95" s="130"/>
      <c r="Q95" s="130"/>
      <c r="R95" s="130"/>
      <c r="S95" s="130"/>
      <c r="T95" s="130"/>
      <c r="U95" s="130"/>
    </row>
    <row r="96" spans="1:21" s="165" customFormat="1" ht="21">
      <c r="A96" s="130" t="s">
        <v>88</v>
      </c>
      <c r="B96" s="130"/>
      <c r="C96" s="130"/>
      <c r="D96" s="130"/>
      <c r="E96" s="130"/>
      <c r="F96" s="130">
        <v>0</v>
      </c>
      <c r="G96" s="130">
        <v>0</v>
      </c>
      <c r="H96" s="130">
        <v>81</v>
      </c>
      <c r="I96" s="130">
        <v>82</v>
      </c>
      <c r="J96" s="130">
        <v>2</v>
      </c>
      <c r="K96" s="130">
        <v>3</v>
      </c>
      <c r="L96" s="130">
        <v>1</v>
      </c>
      <c r="M96" s="130">
        <v>0</v>
      </c>
      <c r="N96" s="130">
        <v>84</v>
      </c>
      <c r="O96" s="130">
        <v>85</v>
      </c>
      <c r="P96" s="130"/>
      <c r="Q96" s="130"/>
      <c r="R96" s="130"/>
      <c r="S96" s="130"/>
      <c r="T96" s="130"/>
      <c r="U96" s="130"/>
    </row>
    <row r="97" spans="1:21" s="165" customFormat="1" ht="21">
      <c r="A97" s="168" t="s">
        <v>354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</row>
    <row r="98" spans="1:21" s="165" customFormat="1" ht="21">
      <c r="A98" s="130" t="s">
        <v>86</v>
      </c>
      <c r="B98" s="130"/>
      <c r="C98" s="130"/>
      <c r="D98" s="130"/>
      <c r="E98" s="130"/>
      <c r="F98" s="130">
        <v>0</v>
      </c>
      <c r="G98" s="130">
        <v>0</v>
      </c>
      <c r="H98" s="130">
        <v>0</v>
      </c>
      <c r="I98" s="130">
        <v>0</v>
      </c>
      <c r="J98" s="130">
        <v>3</v>
      </c>
      <c r="K98" s="130">
        <v>0</v>
      </c>
      <c r="L98" s="130">
        <v>0</v>
      </c>
      <c r="M98" s="130">
        <v>0</v>
      </c>
      <c r="N98" s="130">
        <v>3</v>
      </c>
      <c r="O98" s="130">
        <v>0</v>
      </c>
      <c r="P98" s="130"/>
      <c r="Q98" s="130"/>
      <c r="R98" s="130"/>
      <c r="S98" s="130"/>
      <c r="T98" s="130"/>
      <c r="U98" s="130"/>
    </row>
    <row r="99" spans="1:21" s="165" customFormat="1" ht="21">
      <c r="A99" s="130" t="s">
        <v>87</v>
      </c>
      <c r="B99" s="130"/>
      <c r="C99" s="130"/>
      <c r="D99" s="130"/>
      <c r="E99" s="130"/>
      <c r="F99" s="130">
        <v>0</v>
      </c>
      <c r="G99" s="130">
        <v>0</v>
      </c>
      <c r="H99" s="130">
        <v>4</v>
      </c>
      <c r="I99" s="130">
        <v>1</v>
      </c>
      <c r="J99" s="130">
        <v>0</v>
      </c>
      <c r="K99" s="130">
        <v>1</v>
      </c>
      <c r="L99" s="130">
        <v>0</v>
      </c>
      <c r="M99" s="130">
        <v>0</v>
      </c>
      <c r="N99" s="130">
        <v>4</v>
      </c>
      <c r="O99" s="130">
        <v>2</v>
      </c>
      <c r="P99" s="130"/>
      <c r="Q99" s="130"/>
      <c r="R99" s="130"/>
      <c r="S99" s="130"/>
      <c r="T99" s="130"/>
      <c r="U99" s="130"/>
    </row>
    <row r="100" spans="1:21" s="165" customFormat="1" ht="21">
      <c r="A100" s="130" t="s">
        <v>88</v>
      </c>
      <c r="B100" s="130"/>
      <c r="C100" s="130"/>
      <c r="D100" s="130"/>
      <c r="E100" s="130"/>
      <c r="F100" s="130">
        <v>0</v>
      </c>
      <c r="G100" s="130">
        <v>0</v>
      </c>
      <c r="H100" s="130">
        <v>11</v>
      </c>
      <c r="I100" s="130">
        <v>3</v>
      </c>
      <c r="J100" s="130">
        <v>0</v>
      </c>
      <c r="K100" s="130">
        <v>0</v>
      </c>
      <c r="L100" s="130">
        <v>0</v>
      </c>
      <c r="M100" s="130">
        <v>0</v>
      </c>
      <c r="N100" s="130">
        <v>11</v>
      </c>
      <c r="O100" s="130">
        <v>3</v>
      </c>
      <c r="P100" s="130"/>
      <c r="Q100" s="130"/>
      <c r="R100" s="130"/>
      <c r="S100" s="130"/>
      <c r="T100" s="130"/>
      <c r="U100" s="130"/>
    </row>
  </sheetData>
  <sheetProtection/>
  <mergeCells count="52"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B8:U8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L77:L78"/>
    <mergeCell ref="A77:A78"/>
    <mergeCell ref="B77:B78"/>
    <mergeCell ref="C77:C78"/>
    <mergeCell ref="D77:D78"/>
    <mergeCell ref="E77:E78"/>
    <mergeCell ref="F77:F78"/>
    <mergeCell ref="M77:M78"/>
    <mergeCell ref="N77:N78"/>
    <mergeCell ref="O77:O78"/>
    <mergeCell ref="P77:P78"/>
    <mergeCell ref="Q77:Q78"/>
    <mergeCell ref="G77:G78"/>
    <mergeCell ref="H77:H78"/>
    <mergeCell ref="I77:I78"/>
    <mergeCell ref="J77:J78"/>
    <mergeCell ref="K77:K7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6"/>
  <sheetViews>
    <sheetView zoomScalePageLayoutView="0" workbookViewId="0" topLeftCell="A1">
      <selection activeCell="A1" sqref="A1:IV16384"/>
    </sheetView>
  </sheetViews>
  <sheetFormatPr defaultColWidth="6.8515625" defaultRowHeight="15"/>
  <cols>
    <col min="1" max="1" width="40.140625" style="122" customWidth="1"/>
    <col min="2" max="2" width="10.421875" style="122" customWidth="1"/>
    <col min="3" max="3" width="5.7109375" style="122" customWidth="1"/>
    <col min="4" max="4" width="4.140625" style="122" customWidth="1"/>
    <col min="5" max="5" width="12.140625" style="122" customWidth="1"/>
    <col min="6" max="15" width="4.140625" style="122" customWidth="1"/>
    <col min="16" max="21" width="10.421875" style="122" customWidth="1"/>
    <col min="22" max="16384" width="6.8515625" style="122" customWidth="1"/>
  </cols>
  <sheetData>
    <row r="1" ht="21">
      <c r="N1" s="295"/>
    </row>
    <row r="2" spans="1:21" ht="23.25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ht="23.25">
      <c r="A3" s="371" t="s">
        <v>646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</row>
    <row r="4" spans="1:20" ht="23.25">
      <c r="A4" s="372" t="s">
        <v>647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</row>
    <row r="5" spans="1:23" s="204" customFormat="1" ht="132.75" customHeight="1">
      <c r="A5" s="373" t="s">
        <v>3</v>
      </c>
      <c r="B5" s="367" t="s">
        <v>4</v>
      </c>
      <c r="C5" s="375" t="s">
        <v>5</v>
      </c>
      <c r="D5" s="376"/>
      <c r="E5" s="367" t="s">
        <v>357</v>
      </c>
      <c r="F5" s="375" t="s">
        <v>6</v>
      </c>
      <c r="G5" s="379"/>
      <c r="H5" s="379"/>
      <c r="I5" s="379"/>
      <c r="J5" s="379"/>
      <c r="K5" s="379"/>
      <c r="L5" s="379"/>
      <c r="M5" s="376"/>
      <c r="N5" s="375" t="s">
        <v>7</v>
      </c>
      <c r="O5" s="376"/>
      <c r="P5" s="367" t="s">
        <v>8</v>
      </c>
      <c r="Q5" s="367" t="s">
        <v>9</v>
      </c>
      <c r="R5" s="367" t="s">
        <v>10</v>
      </c>
      <c r="S5" s="367" t="s">
        <v>11</v>
      </c>
      <c r="T5" s="367" t="s">
        <v>12</v>
      </c>
      <c r="U5" s="367" t="s">
        <v>13</v>
      </c>
      <c r="V5" s="203"/>
      <c r="W5" s="203"/>
    </row>
    <row r="6" spans="1:23" s="204" customFormat="1" ht="28.5" customHeight="1">
      <c r="A6" s="374"/>
      <c r="B6" s="368"/>
      <c r="C6" s="377"/>
      <c r="D6" s="378"/>
      <c r="E6" s="369"/>
      <c r="F6" s="370" t="s">
        <v>14</v>
      </c>
      <c r="G6" s="370"/>
      <c r="H6" s="370" t="s">
        <v>15</v>
      </c>
      <c r="I6" s="370"/>
      <c r="J6" s="370" t="s">
        <v>16</v>
      </c>
      <c r="K6" s="370"/>
      <c r="L6" s="370" t="s">
        <v>17</v>
      </c>
      <c r="M6" s="370"/>
      <c r="N6" s="377"/>
      <c r="O6" s="378"/>
      <c r="P6" s="368"/>
      <c r="Q6" s="368"/>
      <c r="R6" s="368"/>
      <c r="S6" s="368"/>
      <c r="T6" s="368"/>
      <c r="U6" s="368"/>
      <c r="V6" s="203"/>
      <c r="W6" s="203"/>
    </row>
    <row r="7" spans="1:21" s="204" customFormat="1" ht="24" customHeight="1">
      <c r="A7" s="374"/>
      <c r="B7" s="369"/>
      <c r="C7" s="123" t="s">
        <v>18</v>
      </c>
      <c r="D7" s="123" t="s">
        <v>19</v>
      </c>
      <c r="E7" s="124" t="s">
        <v>20</v>
      </c>
      <c r="F7" s="123" t="s">
        <v>18</v>
      </c>
      <c r="G7" s="123" t="s">
        <v>19</v>
      </c>
      <c r="H7" s="123" t="s">
        <v>18</v>
      </c>
      <c r="I7" s="123" t="s">
        <v>19</v>
      </c>
      <c r="J7" s="123" t="s">
        <v>18</v>
      </c>
      <c r="K7" s="123" t="s">
        <v>19</v>
      </c>
      <c r="L7" s="123" t="s">
        <v>18</v>
      </c>
      <c r="M7" s="123" t="s">
        <v>19</v>
      </c>
      <c r="N7" s="123" t="s">
        <v>18</v>
      </c>
      <c r="O7" s="123" t="s">
        <v>19</v>
      </c>
      <c r="P7" s="369"/>
      <c r="Q7" s="369"/>
      <c r="R7" s="369"/>
      <c r="S7" s="369"/>
      <c r="T7" s="369"/>
      <c r="U7" s="369"/>
    </row>
    <row r="8" spans="1:21" s="204" customFormat="1" ht="24" customHeight="1">
      <c r="A8" s="125" t="s">
        <v>22</v>
      </c>
      <c r="B8" s="364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6"/>
    </row>
    <row r="9" spans="1:21" s="207" customFormat="1" ht="26.25" customHeight="1">
      <c r="A9" s="126" t="s">
        <v>23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/>
      <c r="R9" s="128"/>
      <c r="S9" s="128"/>
      <c r="T9" s="128"/>
      <c r="U9" s="128"/>
    </row>
    <row r="10" spans="1:21" s="165" customFormat="1" ht="21">
      <c r="A10" s="129" t="s">
        <v>24</v>
      </c>
      <c r="B10" s="130">
        <v>25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</row>
    <row r="11" spans="1:21" s="165" customFormat="1" ht="21">
      <c r="A11" s="21" t="s">
        <v>648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</row>
    <row r="12" spans="1:21" s="165" customFormat="1" ht="21">
      <c r="A12" s="136" t="s">
        <v>649</v>
      </c>
      <c r="B12" s="130">
        <v>85</v>
      </c>
      <c r="C12" s="130">
        <v>35</v>
      </c>
      <c r="D12" s="130">
        <v>50</v>
      </c>
      <c r="E12" s="130"/>
      <c r="F12" s="130"/>
      <c r="G12" s="130"/>
      <c r="H12" s="130">
        <v>35</v>
      </c>
      <c r="I12" s="130">
        <v>50</v>
      </c>
      <c r="J12" s="130"/>
      <c r="K12" s="130"/>
      <c r="L12" s="130"/>
      <c r="M12" s="130"/>
      <c r="N12" s="130">
        <v>35</v>
      </c>
      <c r="O12" s="130">
        <v>50</v>
      </c>
      <c r="P12" s="130"/>
      <c r="Q12" s="169"/>
      <c r="R12" s="169">
        <v>14160</v>
      </c>
      <c r="S12" s="130"/>
      <c r="T12" s="130"/>
      <c r="U12" s="130"/>
    </row>
    <row r="13" spans="1:21" s="165" customFormat="1" ht="21">
      <c r="A13" s="136" t="s">
        <v>650</v>
      </c>
      <c r="B13" s="130">
        <v>22</v>
      </c>
      <c r="C13" s="130">
        <v>14</v>
      </c>
      <c r="D13" s="130">
        <v>9</v>
      </c>
      <c r="E13" s="130"/>
      <c r="F13" s="130"/>
      <c r="G13" s="130"/>
      <c r="H13" s="130">
        <v>14</v>
      </c>
      <c r="I13" s="130">
        <v>9</v>
      </c>
      <c r="J13" s="130"/>
      <c r="K13" s="130"/>
      <c r="L13" s="130"/>
      <c r="M13" s="130"/>
      <c r="N13" s="130">
        <v>14</v>
      </c>
      <c r="O13" s="130">
        <v>9</v>
      </c>
      <c r="P13" s="130"/>
      <c r="Q13" s="169"/>
      <c r="R13" s="169">
        <v>15000</v>
      </c>
      <c r="S13" s="169"/>
      <c r="T13" s="130"/>
      <c r="U13" s="130"/>
    </row>
    <row r="14" spans="1:21" s="165" customFormat="1" ht="21">
      <c r="A14" s="136" t="s">
        <v>651</v>
      </c>
      <c r="B14" s="130">
        <v>70</v>
      </c>
      <c r="C14" s="130">
        <v>30</v>
      </c>
      <c r="D14" s="130">
        <v>40</v>
      </c>
      <c r="E14" s="130"/>
      <c r="F14" s="130"/>
      <c r="G14" s="130"/>
      <c r="H14" s="130">
        <v>30</v>
      </c>
      <c r="I14" s="130">
        <v>40</v>
      </c>
      <c r="J14" s="130"/>
      <c r="K14" s="130"/>
      <c r="L14" s="130"/>
      <c r="M14" s="130"/>
      <c r="N14" s="130">
        <v>30</v>
      </c>
      <c r="O14" s="130">
        <v>40</v>
      </c>
      <c r="P14" s="130"/>
      <c r="Q14" s="130"/>
      <c r="R14" s="130">
        <v>14160</v>
      </c>
      <c r="S14" s="130"/>
      <c r="T14" s="130"/>
      <c r="U14" s="130"/>
    </row>
    <row r="15" spans="1:21" s="165" customFormat="1" ht="21">
      <c r="A15" s="136" t="s">
        <v>652</v>
      </c>
      <c r="B15" s="130">
        <v>30</v>
      </c>
      <c r="C15" s="130">
        <v>28</v>
      </c>
      <c r="D15" s="130">
        <v>2</v>
      </c>
      <c r="E15" s="130"/>
      <c r="F15" s="130"/>
      <c r="G15" s="130"/>
      <c r="H15" s="130">
        <v>28</v>
      </c>
      <c r="I15" s="130"/>
      <c r="J15" s="130">
        <v>2</v>
      </c>
      <c r="K15" s="130"/>
      <c r="L15" s="130"/>
      <c r="M15" s="130"/>
      <c r="N15" s="130">
        <v>28</v>
      </c>
      <c r="O15" s="130">
        <v>2</v>
      </c>
      <c r="P15" s="130"/>
      <c r="Q15" s="130"/>
      <c r="R15" s="169">
        <v>15000</v>
      </c>
      <c r="S15" s="169"/>
      <c r="T15" s="130"/>
      <c r="U15" s="130"/>
    </row>
    <row r="16" spans="1:21" s="165" customFormat="1" ht="21">
      <c r="A16" s="136" t="s">
        <v>653</v>
      </c>
      <c r="B16" s="130">
        <v>20</v>
      </c>
      <c r="C16" s="130"/>
      <c r="D16" s="130">
        <v>20</v>
      </c>
      <c r="E16" s="130"/>
      <c r="F16" s="130"/>
      <c r="G16" s="130"/>
      <c r="H16" s="130"/>
      <c r="I16" s="130"/>
      <c r="J16" s="130"/>
      <c r="K16" s="130">
        <v>20</v>
      </c>
      <c r="L16" s="130"/>
      <c r="M16" s="130"/>
      <c r="N16" s="130"/>
      <c r="O16" s="130">
        <v>20</v>
      </c>
      <c r="P16" s="130"/>
      <c r="Q16" s="130"/>
      <c r="R16" s="130">
        <v>7000</v>
      </c>
      <c r="S16" s="130"/>
      <c r="T16" s="130"/>
      <c r="U16" s="130"/>
    </row>
    <row r="17" spans="1:21" s="165" customFormat="1" ht="21">
      <c r="A17" s="136" t="s">
        <v>654</v>
      </c>
      <c r="B17" s="130">
        <v>17</v>
      </c>
      <c r="C17" s="130">
        <v>1</v>
      </c>
      <c r="D17" s="130">
        <v>16</v>
      </c>
      <c r="E17" s="130"/>
      <c r="F17" s="130"/>
      <c r="G17" s="130"/>
      <c r="H17" s="130">
        <v>1</v>
      </c>
      <c r="I17" s="130">
        <v>5</v>
      </c>
      <c r="J17" s="130"/>
      <c r="K17" s="130">
        <v>10</v>
      </c>
      <c r="L17" s="130"/>
      <c r="M17" s="130">
        <v>1</v>
      </c>
      <c r="N17" s="130">
        <v>1</v>
      </c>
      <c r="O17" s="130">
        <v>16</v>
      </c>
      <c r="P17" s="130"/>
      <c r="Q17" s="130"/>
      <c r="R17" s="169">
        <v>15000</v>
      </c>
      <c r="S17" s="169"/>
      <c r="T17" s="130"/>
      <c r="U17" s="130"/>
    </row>
    <row r="18" spans="1:21" s="165" customFormat="1" ht="21">
      <c r="A18" s="136" t="s">
        <v>655</v>
      </c>
      <c r="B18" s="130">
        <v>16</v>
      </c>
      <c r="C18" s="130">
        <v>3</v>
      </c>
      <c r="D18" s="130">
        <v>13</v>
      </c>
      <c r="E18" s="130"/>
      <c r="F18" s="130"/>
      <c r="G18" s="130"/>
      <c r="H18" s="130"/>
      <c r="I18" s="130">
        <v>5</v>
      </c>
      <c r="J18" s="130">
        <v>8</v>
      </c>
      <c r="K18" s="130">
        <v>2</v>
      </c>
      <c r="L18" s="130">
        <v>1</v>
      </c>
      <c r="M18" s="130"/>
      <c r="N18" s="130">
        <v>3</v>
      </c>
      <c r="O18" s="130">
        <v>13</v>
      </c>
      <c r="P18" s="130"/>
      <c r="Q18" s="130"/>
      <c r="R18" s="169">
        <v>14160</v>
      </c>
      <c r="S18" s="169"/>
      <c r="T18" s="130"/>
      <c r="U18" s="130"/>
    </row>
    <row r="19" spans="1:21" s="165" customFormat="1" ht="21">
      <c r="A19" s="136" t="s">
        <v>656</v>
      </c>
      <c r="B19" s="130">
        <v>25</v>
      </c>
      <c r="C19" s="130"/>
      <c r="D19" s="130">
        <v>25</v>
      </c>
      <c r="E19" s="130"/>
      <c r="F19" s="130"/>
      <c r="G19" s="130"/>
      <c r="H19" s="130"/>
      <c r="I19" s="130">
        <v>20</v>
      </c>
      <c r="J19" s="130"/>
      <c r="K19" s="130">
        <v>5</v>
      </c>
      <c r="L19" s="130"/>
      <c r="M19" s="130"/>
      <c r="N19" s="130"/>
      <c r="O19" s="130">
        <v>25</v>
      </c>
      <c r="P19" s="130"/>
      <c r="Q19" s="130"/>
      <c r="R19" s="169">
        <v>15000</v>
      </c>
      <c r="S19" s="169"/>
      <c r="T19" s="130"/>
      <c r="U19" s="130"/>
    </row>
    <row r="20" spans="1:21" s="165" customFormat="1" ht="21">
      <c r="A20" s="136" t="s">
        <v>657</v>
      </c>
      <c r="B20" s="130">
        <v>65</v>
      </c>
      <c r="C20" s="130"/>
      <c r="D20" s="130">
        <v>65</v>
      </c>
      <c r="E20" s="130"/>
      <c r="F20" s="130"/>
      <c r="G20" s="130"/>
      <c r="H20" s="130"/>
      <c r="I20" s="130">
        <v>40</v>
      </c>
      <c r="J20" s="130"/>
      <c r="K20" s="130">
        <v>25</v>
      </c>
      <c r="L20" s="130"/>
      <c r="M20" s="130"/>
      <c r="N20" s="130"/>
      <c r="O20" s="130">
        <v>65</v>
      </c>
      <c r="P20" s="130"/>
      <c r="Q20" s="130"/>
      <c r="R20" s="169">
        <v>14160</v>
      </c>
      <c r="S20" s="169"/>
      <c r="T20" s="130"/>
      <c r="U20" s="130"/>
    </row>
    <row r="21" spans="1:21" s="165" customFormat="1" ht="21">
      <c r="A21" s="136" t="s">
        <v>658</v>
      </c>
      <c r="B21" s="130">
        <v>65</v>
      </c>
      <c r="C21" s="130"/>
      <c r="D21" s="130"/>
      <c r="E21" s="130"/>
      <c r="F21" s="130"/>
      <c r="G21" s="130"/>
      <c r="H21" s="130">
        <v>30</v>
      </c>
      <c r="I21" s="130">
        <v>20</v>
      </c>
      <c r="J21" s="130">
        <v>10</v>
      </c>
      <c r="K21" s="130">
        <v>5</v>
      </c>
      <c r="L21" s="130"/>
      <c r="M21" s="130"/>
      <c r="N21" s="130">
        <v>40</v>
      </c>
      <c r="O21" s="130">
        <v>25</v>
      </c>
      <c r="P21" s="130"/>
      <c r="Q21" s="130"/>
      <c r="R21" s="169">
        <v>14160</v>
      </c>
      <c r="S21" s="169"/>
      <c r="T21" s="130"/>
      <c r="U21" s="130"/>
    </row>
    <row r="22" spans="1:21" s="165" customFormat="1" ht="21">
      <c r="A22" s="129" t="s">
        <v>38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</row>
    <row r="23" spans="1:21" s="165" customFormat="1" ht="21">
      <c r="A23" s="136" t="s">
        <v>659</v>
      </c>
      <c r="B23" s="130">
        <v>35</v>
      </c>
      <c r="C23" s="130">
        <v>16</v>
      </c>
      <c r="D23" s="130">
        <v>19</v>
      </c>
      <c r="E23" s="130"/>
      <c r="F23" s="130"/>
      <c r="G23" s="130"/>
      <c r="H23" s="130">
        <v>16</v>
      </c>
      <c r="I23" s="130">
        <v>19</v>
      </c>
      <c r="J23" s="130"/>
      <c r="K23" s="130"/>
      <c r="L23" s="130"/>
      <c r="M23" s="130"/>
      <c r="N23" s="130">
        <v>16</v>
      </c>
      <c r="O23" s="130">
        <v>19</v>
      </c>
      <c r="P23" s="130"/>
      <c r="Q23" s="130"/>
      <c r="R23" s="169">
        <v>2000</v>
      </c>
      <c r="S23" s="130"/>
      <c r="T23" s="130"/>
      <c r="U23" s="130"/>
    </row>
    <row r="24" spans="1:21" ht="21">
      <c r="A24" s="145" t="s">
        <v>660</v>
      </c>
      <c r="B24" s="149">
        <v>20</v>
      </c>
      <c r="C24" s="149">
        <v>5</v>
      </c>
      <c r="D24" s="149">
        <v>15</v>
      </c>
      <c r="E24" s="149"/>
      <c r="F24" s="149"/>
      <c r="G24" s="149"/>
      <c r="H24" s="149"/>
      <c r="I24" s="149">
        <v>5</v>
      </c>
      <c r="J24" s="149"/>
      <c r="K24" s="149">
        <v>15</v>
      </c>
      <c r="L24" s="149"/>
      <c r="M24" s="149"/>
      <c r="N24" s="149">
        <v>5</v>
      </c>
      <c r="O24" s="149">
        <v>15</v>
      </c>
      <c r="P24" s="149"/>
      <c r="Q24" s="149"/>
      <c r="R24" s="213">
        <v>9000</v>
      </c>
      <c r="S24" s="149"/>
      <c r="T24" s="149"/>
      <c r="U24" s="149"/>
    </row>
    <row r="25" spans="1:21" ht="21">
      <c r="A25" s="145" t="s">
        <v>661</v>
      </c>
      <c r="B25" s="149">
        <v>20</v>
      </c>
      <c r="C25" s="149">
        <v>5</v>
      </c>
      <c r="D25" s="149">
        <v>15</v>
      </c>
      <c r="E25" s="149"/>
      <c r="F25" s="149"/>
      <c r="G25" s="149"/>
      <c r="H25" s="149"/>
      <c r="I25" s="149"/>
      <c r="J25" s="149"/>
      <c r="K25" s="149"/>
      <c r="L25" s="149">
        <v>5</v>
      </c>
      <c r="M25" s="149">
        <v>15</v>
      </c>
      <c r="N25" s="149">
        <v>5</v>
      </c>
      <c r="O25" s="149">
        <v>15</v>
      </c>
      <c r="P25" s="149"/>
      <c r="Q25" s="149"/>
      <c r="R25" s="213">
        <v>2000</v>
      </c>
      <c r="S25" s="149"/>
      <c r="T25" s="149"/>
      <c r="U25" s="149"/>
    </row>
    <row r="26" spans="1:21" ht="21">
      <c r="A26" s="145" t="s">
        <v>662</v>
      </c>
      <c r="B26" s="149">
        <v>35</v>
      </c>
      <c r="C26" s="149">
        <v>17</v>
      </c>
      <c r="D26" s="149">
        <v>19</v>
      </c>
      <c r="E26" s="149"/>
      <c r="F26" s="149"/>
      <c r="G26" s="149"/>
      <c r="H26" s="149">
        <v>13</v>
      </c>
      <c r="I26" s="149">
        <v>10</v>
      </c>
      <c r="J26" s="149">
        <v>4</v>
      </c>
      <c r="K26" s="149">
        <v>9</v>
      </c>
      <c r="L26" s="149"/>
      <c r="M26" s="149"/>
      <c r="N26" s="149">
        <v>17</v>
      </c>
      <c r="O26" s="149">
        <v>19</v>
      </c>
      <c r="P26" s="149"/>
      <c r="Q26" s="149"/>
      <c r="R26" s="213">
        <v>2000</v>
      </c>
      <c r="S26" s="213"/>
      <c r="T26" s="149"/>
      <c r="U26" s="149"/>
    </row>
    <row r="27" spans="1:21" ht="21">
      <c r="A27" s="145" t="s">
        <v>663</v>
      </c>
      <c r="B27" s="149">
        <v>25</v>
      </c>
      <c r="C27" s="149">
        <v>20</v>
      </c>
      <c r="D27" s="149">
        <v>5</v>
      </c>
      <c r="E27" s="149"/>
      <c r="F27" s="149"/>
      <c r="G27" s="149"/>
      <c r="H27" s="149">
        <v>20</v>
      </c>
      <c r="I27" s="149">
        <v>5</v>
      </c>
      <c r="J27" s="149"/>
      <c r="K27" s="149"/>
      <c r="L27" s="149"/>
      <c r="M27" s="149"/>
      <c r="N27" s="149">
        <v>20</v>
      </c>
      <c r="O27" s="149">
        <v>5</v>
      </c>
      <c r="P27" s="149"/>
      <c r="Q27" s="149"/>
      <c r="R27" s="213">
        <v>2000</v>
      </c>
      <c r="S27" s="213"/>
      <c r="T27" s="149"/>
      <c r="U27" s="149"/>
    </row>
    <row r="28" spans="1:21" s="165" customFormat="1" ht="21">
      <c r="A28" s="129" t="s">
        <v>40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</row>
    <row r="29" spans="1:21" s="165" customFormat="1" ht="21">
      <c r="A29" s="136" t="s">
        <v>664</v>
      </c>
      <c r="B29" s="130">
        <v>25</v>
      </c>
      <c r="C29" s="130">
        <v>12</v>
      </c>
      <c r="D29" s="130">
        <v>13</v>
      </c>
      <c r="E29" s="130"/>
      <c r="F29" s="130"/>
      <c r="G29" s="130">
        <v>1</v>
      </c>
      <c r="H29" s="130">
        <v>9</v>
      </c>
      <c r="I29" s="130">
        <v>15</v>
      </c>
      <c r="J29" s="130"/>
      <c r="K29" s="130"/>
      <c r="L29" s="130"/>
      <c r="M29" s="130"/>
      <c r="N29" s="130">
        <v>10</v>
      </c>
      <c r="O29" s="130">
        <v>15</v>
      </c>
      <c r="P29" s="130"/>
      <c r="Q29" s="169"/>
      <c r="R29" s="169">
        <v>7780</v>
      </c>
      <c r="S29" s="169"/>
      <c r="T29" s="130"/>
      <c r="U29" s="130"/>
    </row>
    <row r="30" spans="1:21" s="165" customFormat="1" ht="21">
      <c r="A30" s="136" t="s">
        <v>665</v>
      </c>
      <c r="B30" s="130">
        <v>25</v>
      </c>
      <c r="C30" s="130">
        <v>13</v>
      </c>
      <c r="D30" s="130">
        <v>12</v>
      </c>
      <c r="E30" s="130"/>
      <c r="F30" s="130"/>
      <c r="G30" s="130"/>
      <c r="H30" s="130">
        <v>13</v>
      </c>
      <c r="I30" s="130">
        <v>12</v>
      </c>
      <c r="J30" s="130"/>
      <c r="K30" s="130"/>
      <c r="L30" s="130"/>
      <c r="M30" s="130"/>
      <c r="N30" s="130"/>
      <c r="O30" s="130"/>
      <c r="P30" s="130"/>
      <c r="Q30" s="169"/>
      <c r="R30" s="130"/>
      <c r="S30" s="169"/>
      <c r="T30" s="130"/>
      <c r="U30" s="130"/>
    </row>
    <row r="31" spans="1:21" s="165" customFormat="1" ht="21">
      <c r="A31" s="136" t="s">
        <v>666</v>
      </c>
      <c r="B31" s="130">
        <v>20</v>
      </c>
      <c r="C31" s="130">
        <v>10</v>
      </c>
      <c r="D31" s="130">
        <v>10</v>
      </c>
      <c r="E31" s="130"/>
      <c r="F31" s="130"/>
      <c r="G31" s="130"/>
      <c r="H31" s="130">
        <v>10</v>
      </c>
      <c r="I31" s="130">
        <v>10</v>
      </c>
      <c r="J31" s="130"/>
      <c r="K31" s="130"/>
      <c r="L31" s="130"/>
      <c r="M31" s="130"/>
      <c r="N31" s="130">
        <v>10</v>
      </c>
      <c r="O31" s="130">
        <v>10</v>
      </c>
      <c r="P31" s="130"/>
      <c r="Q31" s="169"/>
      <c r="R31" s="169">
        <v>9000</v>
      </c>
      <c r="S31" s="169"/>
      <c r="T31" s="130"/>
      <c r="U31" s="130"/>
    </row>
    <row r="32" spans="1:21" s="165" customFormat="1" ht="21">
      <c r="A32" s="136" t="s">
        <v>667</v>
      </c>
      <c r="B32" s="130">
        <v>20</v>
      </c>
      <c r="C32" s="130">
        <v>20</v>
      </c>
      <c r="D32" s="130"/>
      <c r="E32" s="130"/>
      <c r="F32" s="130"/>
      <c r="G32" s="130"/>
      <c r="H32" s="130">
        <v>20</v>
      </c>
      <c r="I32" s="130"/>
      <c r="J32" s="130"/>
      <c r="K32" s="130"/>
      <c r="L32" s="130"/>
      <c r="M32" s="130"/>
      <c r="N32" s="130">
        <v>20</v>
      </c>
      <c r="O32" s="130"/>
      <c r="P32" s="130"/>
      <c r="Q32" s="169"/>
      <c r="R32" s="318">
        <v>5000</v>
      </c>
      <c r="S32" s="319"/>
      <c r="T32" s="130"/>
      <c r="U32" s="130"/>
    </row>
    <row r="33" spans="1:21" s="165" customFormat="1" ht="21">
      <c r="A33" s="136" t="s">
        <v>668</v>
      </c>
      <c r="B33" s="130">
        <v>15</v>
      </c>
      <c r="C33" s="130"/>
      <c r="D33" s="130">
        <v>15</v>
      </c>
      <c r="E33" s="130"/>
      <c r="F33" s="130"/>
      <c r="G33" s="130"/>
      <c r="H33" s="130"/>
      <c r="I33" s="130">
        <v>1</v>
      </c>
      <c r="J33" s="130"/>
      <c r="K33" s="130">
        <v>14</v>
      </c>
      <c r="L33" s="130"/>
      <c r="M33" s="130"/>
      <c r="N33" s="130"/>
      <c r="O33" s="130">
        <v>15</v>
      </c>
      <c r="P33" s="130"/>
      <c r="Q33" s="169"/>
      <c r="R33" s="169">
        <v>9000</v>
      </c>
      <c r="S33" s="169"/>
      <c r="T33" s="130"/>
      <c r="U33" s="130"/>
    </row>
    <row r="34" spans="1:21" s="165" customFormat="1" ht="21">
      <c r="A34" s="136" t="s">
        <v>669</v>
      </c>
      <c r="B34" s="130">
        <v>21</v>
      </c>
      <c r="C34" s="130">
        <v>15</v>
      </c>
      <c r="D34" s="130">
        <v>6</v>
      </c>
      <c r="E34" s="130"/>
      <c r="F34" s="130"/>
      <c r="G34" s="130"/>
      <c r="H34" s="130"/>
      <c r="I34" s="130">
        <v>6</v>
      </c>
      <c r="J34" s="130">
        <v>15</v>
      </c>
      <c r="K34" s="130"/>
      <c r="L34" s="130"/>
      <c r="M34" s="130"/>
      <c r="N34" s="130">
        <v>15</v>
      </c>
      <c r="O34" s="130">
        <v>6</v>
      </c>
      <c r="P34" s="130"/>
      <c r="Q34" s="169"/>
      <c r="R34" s="169">
        <v>9000</v>
      </c>
      <c r="S34" s="169"/>
      <c r="T34" s="130"/>
      <c r="U34" s="130"/>
    </row>
    <row r="35" spans="1:21" s="165" customFormat="1" ht="21">
      <c r="A35" s="129" t="s">
        <v>45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</row>
    <row r="36" spans="1:21" s="165" customFormat="1" ht="21">
      <c r="A36" s="159" t="s">
        <v>670</v>
      </c>
      <c r="B36" s="130">
        <v>5</v>
      </c>
      <c r="C36" s="130"/>
      <c r="D36" s="130">
        <v>5</v>
      </c>
      <c r="E36" s="130"/>
      <c r="F36" s="130"/>
      <c r="G36" s="130"/>
      <c r="H36" s="130">
        <v>5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</row>
    <row r="37" spans="1:21" s="165" customFormat="1" ht="21">
      <c r="A37" s="159" t="s">
        <v>671</v>
      </c>
      <c r="B37" s="130">
        <v>5</v>
      </c>
      <c r="C37" s="130">
        <v>5</v>
      </c>
      <c r="D37" s="130"/>
      <c r="E37" s="130"/>
      <c r="F37" s="130"/>
      <c r="G37" s="130"/>
      <c r="H37" s="130">
        <v>5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</row>
    <row r="38" spans="1:21" s="165" customFormat="1" ht="21">
      <c r="A38" s="159" t="s">
        <v>672</v>
      </c>
      <c r="B38" s="130">
        <v>15</v>
      </c>
      <c r="C38" s="130">
        <v>6</v>
      </c>
      <c r="D38" s="130"/>
      <c r="E38" s="130"/>
      <c r="F38" s="130"/>
      <c r="G38" s="130"/>
      <c r="H38" s="130"/>
      <c r="I38" s="130"/>
      <c r="J38" s="130">
        <v>15</v>
      </c>
      <c r="K38" s="130">
        <v>6</v>
      </c>
      <c r="L38" s="130"/>
      <c r="M38" s="130"/>
      <c r="N38" s="130">
        <v>15</v>
      </c>
      <c r="O38" s="130">
        <v>6</v>
      </c>
      <c r="P38" s="130"/>
      <c r="Q38" s="130"/>
      <c r="R38" s="169">
        <v>10000</v>
      </c>
      <c r="S38" s="169"/>
      <c r="T38" s="130"/>
      <c r="U38" s="130"/>
    </row>
    <row r="39" spans="1:21" s="165" customFormat="1" ht="21">
      <c r="A39" s="161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69"/>
      <c r="T39" s="130"/>
      <c r="U39" s="130"/>
    </row>
    <row r="40" spans="1:21" s="165" customFormat="1" ht="21">
      <c r="A40" s="129" t="s">
        <v>49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</row>
    <row r="41" spans="1:21" s="165" customFormat="1" ht="21">
      <c r="A41" s="129" t="s">
        <v>50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</row>
    <row r="42" spans="1:21" ht="42">
      <c r="A42" s="162" t="s">
        <v>52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49"/>
      <c r="P42" s="149"/>
      <c r="Q42" s="149"/>
      <c r="R42" s="149"/>
      <c r="S42" s="149"/>
      <c r="T42" s="149"/>
      <c r="U42" s="149"/>
    </row>
    <row r="43" spans="1:21" s="165" customFormat="1" ht="21">
      <c r="A43" s="129" t="s">
        <v>53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</row>
    <row r="44" spans="1:21" s="165" customFormat="1" ht="21">
      <c r="A44" s="129" t="s">
        <v>54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</row>
    <row r="45" spans="1:21" s="165" customFormat="1" ht="21">
      <c r="A45" s="129" t="s">
        <v>55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</row>
    <row r="46" spans="1:21" s="165" customFormat="1" ht="21">
      <c r="A46" s="129" t="s">
        <v>56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21" ht="42">
      <c r="A47" s="162" t="s">
        <v>57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49"/>
      <c r="P47" s="149"/>
      <c r="Q47" s="149"/>
      <c r="R47" s="149"/>
      <c r="S47" s="149"/>
      <c r="T47" s="149"/>
      <c r="U47" s="149"/>
    </row>
    <row r="48" spans="1:21" s="165" customFormat="1" ht="42">
      <c r="A48" s="164" t="s">
        <v>58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</row>
    <row r="49" spans="1:21" s="165" customFormat="1" ht="21">
      <c r="A49" s="129" t="s">
        <v>59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</row>
    <row r="50" spans="1:21" s="165" customFormat="1" ht="21">
      <c r="A50" s="129" t="s">
        <v>60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</row>
    <row r="51" spans="1:21" s="165" customFormat="1" ht="21">
      <c r="A51" s="129" t="s">
        <v>61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</row>
    <row r="52" spans="1:21" s="165" customFormat="1" ht="21">
      <c r="A52" s="164" t="s">
        <v>62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</row>
    <row r="53" spans="1:21" ht="21">
      <c r="A53" s="166" t="s">
        <v>63</v>
      </c>
      <c r="B53" s="163">
        <v>5000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49"/>
      <c r="P53" s="149"/>
      <c r="Q53" s="149"/>
      <c r="R53" s="149"/>
      <c r="S53" s="149"/>
      <c r="T53" s="149"/>
      <c r="U53" s="149"/>
    </row>
    <row r="54" spans="1:21" s="165" customFormat="1" ht="21">
      <c r="A54" s="168" t="s">
        <v>246</v>
      </c>
      <c r="B54" s="130"/>
      <c r="C54" s="130">
        <v>344</v>
      </c>
      <c r="D54" s="130">
        <v>405</v>
      </c>
      <c r="E54" s="130">
        <v>752</v>
      </c>
      <c r="F54" s="320">
        <v>11</v>
      </c>
      <c r="G54" s="130">
        <v>12</v>
      </c>
      <c r="H54" s="320">
        <v>40</v>
      </c>
      <c r="I54" s="130">
        <v>39</v>
      </c>
      <c r="J54" s="320">
        <v>29</v>
      </c>
      <c r="K54" s="130">
        <v>40</v>
      </c>
      <c r="L54" s="320">
        <v>20</v>
      </c>
      <c r="M54" s="130">
        <v>14</v>
      </c>
      <c r="N54" s="320">
        <v>100</v>
      </c>
      <c r="O54" s="321">
        <v>105</v>
      </c>
      <c r="P54" s="130"/>
      <c r="Q54" s="130"/>
      <c r="R54" s="130"/>
      <c r="S54" s="130"/>
      <c r="T54" s="130"/>
      <c r="U54" s="130"/>
    </row>
    <row r="55" spans="1:21" s="165" customFormat="1" ht="21">
      <c r="A55" s="168" t="s">
        <v>247</v>
      </c>
      <c r="B55" s="130"/>
      <c r="C55" s="130">
        <v>25</v>
      </c>
      <c r="D55" s="130">
        <v>18</v>
      </c>
      <c r="E55" s="130">
        <v>59</v>
      </c>
      <c r="F55" s="320">
        <v>1</v>
      </c>
      <c r="G55" s="130"/>
      <c r="H55" s="320">
        <v>2</v>
      </c>
      <c r="I55" s="130"/>
      <c r="J55" s="320">
        <v>5</v>
      </c>
      <c r="K55" s="130">
        <v>6</v>
      </c>
      <c r="L55" s="320">
        <v>1</v>
      </c>
      <c r="M55" s="130">
        <v>1</v>
      </c>
      <c r="N55" s="320">
        <v>9</v>
      </c>
      <c r="O55" s="320">
        <v>7</v>
      </c>
      <c r="P55" s="130"/>
      <c r="Q55" s="130"/>
      <c r="R55" s="130"/>
      <c r="S55" s="130"/>
      <c r="T55" s="130"/>
      <c r="U55" s="130"/>
    </row>
    <row r="56" spans="1:21" s="165" customFormat="1" ht="21">
      <c r="A56" s="168" t="s">
        <v>66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</row>
    <row r="57" spans="1:21" s="165" customFormat="1" ht="21">
      <c r="A57" s="130" t="s">
        <v>673</v>
      </c>
      <c r="B57" s="130">
        <v>200</v>
      </c>
      <c r="C57" s="130"/>
      <c r="D57" s="130"/>
      <c r="E57" s="130"/>
      <c r="F57" s="130">
        <v>20</v>
      </c>
      <c r="G57" s="130">
        <v>20</v>
      </c>
      <c r="H57" s="130">
        <v>80</v>
      </c>
      <c r="I57" s="130">
        <v>80</v>
      </c>
      <c r="J57" s="130"/>
      <c r="K57" s="130"/>
      <c r="L57" s="130"/>
      <c r="M57" s="130"/>
      <c r="N57" s="320">
        <v>100</v>
      </c>
      <c r="O57" s="320">
        <v>100</v>
      </c>
      <c r="P57" s="130"/>
      <c r="Q57" s="130"/>
      <c r="R57" s="130"/>
      <c r="S57" s="130"/>
      <c r="T57" s="130"/>
      <c r="U57" s="130"/>
    </row>
    <row r="58" spans="1:21" s="165" customFormat="1" ht="21">
      <c r="A58" s="130" t="s">
        <v>674</v>
      </c>
      <c r="B58" s="130">
        <v>150</v>
      </c>
      <c r="C58" s="130"/>
      <c r="D58" s="130"/>
      <c r="E58" s="130"/>
      <c r="F58" s="130">
        <v>15</v>
      </c>
      <c r="G58" s="130">
        <v>10</v>
      </c>
      <c r="H58" s="130">
        <v>75</v>
      </c>
      <c r="I58" s="130">
        <v>50</v>
      </c>
      <c r="J58" s="130"/>
      <c r="K58" s="130"/>
      <c r="L58" s="130"/>
      <c r="M58" s="130"/>
      <c r="N58" s="130">
        <v>90</v>
      </c>
      <c r="O58" s="130">
        <v>60</v>
      </c>
      <c r="P58" s="130"/>
      <c r="Q58" s="130"/>
      <c r="R58" s="130"/>
      <c r="S58" s="130"/>
      <c r="T58" s="130"/>
      <c r="U58" s="130"/>
    </row>
    <row r="59" spans="1:21" s="165" customFormat="1" ht="21">
      <c r="A59" s="130" t="s">
        <v>675</v>
      </c>
      <c r="B59" s="130">
        <v>90</v>
      </c>
      <c r="C59" s="130">
        <v>55</v>
      </c>
      <c r="D59" s="130">
        <v>35</v>
      </c>
      <c r="E59" s="130"/>
      <c r="F59" s="130"/>
      <c r="G59" s="130"/>
      <c r="H59" s="130">
        <v>55</v>
      </c>
      <c r="I59" s="130">
        <v>35</v>
      </c>
      <c r="J59" s="130"/>
      <c r="K59" s="130"/>
      <c r="L59" s="130"/>
      <c r="M59" s="130"/>
      <c r="N59" s="130">
        <v>55</v>
      </c>
      <c r="O59" s="130">
        <v>35</v>
      </c>
      <c r="P59" s="130"/>
      <c r="Q59" s="130"/>
      <c r="R59" s="130"/>
      <c r="S59" s="130"/>
      <c r="T59" s="130"/>
      <c r="U59" s="130"/>
    </row>
    <row r="60" spans="1:21" s="165" customFormat="1" ht="21">
      <c r="A60" s="130" t="s">
        <v>676</v>
      </c>
      <c r="B60" s="130">
        <v>170</v>
      </c>
      <c r="C60" s="130">
        <v>84</v>
      </c>
      <c r="D60" s="130">
        <v>86</v>
      </c>
      <c r="E60" s="130"/>
      <c r="F60" s="130"/>
      <c r="G60" s="130">
        <v>28</v>
      </c>
      <c r="H60" s="130">
        <v>86</v>
      </c>
      <c r="I60" s="130">
        <v>56</v>
      </c>
      <c r="J60" s="130"/>
      <c r="K60" s="130"/>
      <c r="L60" s="130"/>
      <c r="M60" s="130"/>
      <c r="N60" s="130">
        <v>84</v>
      </c>
      <c r="O60" s="130">
        <v>86</v>
      </c>
      <c r="P60" s="130"/>
      <c r="Q60" s="130"/>
      <c r="R60" s="130"/>
      <c r="S60" s="130"/>
      <c r="T60" s="130"/>
      <c r="U60" s="130"/>
    </row>
    <row r="61" spans="1:21" s="165" customFormat="1" ht="21">
      <c r="A61" s="168" t="s">
        <v>71</v>
      </c>
      <c r="B61" s="130">
        <v>1500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</row>
    <row r="62" spans="1:21" ht="21">
      <c r="A62" s="214" t="s">
        <v>677</v>
      </c>
      <c r="B62" s="214"/>
      <c r="C62" s="214">
        <v>335</v>
      </c>
      <c r="D62" s="214">
        <v>290</v>
      </c>
      <c r="E62" s="214">
        <v>625</v>
      </c>
      <c r="F62" s="214">
        <v>60</v>
      </c>
      <c r="G62" s="214">
        <v>60</v>
      </c>
      <c r="H62" s="214">
        <v>275</v>
      </c>
      <c r="I62" s="214">
        <v>230</v>
      </c>
      <c r="J62" s="214"/>
      <c r="K62" s="214"/>
      <c r="L62" s="214"/>
      <c r="M62" s="214"/>
      <c r="N62" s="322">
        <v>335</v>
      </c>
      <c r="O62" s="322">
        <v>290</v>
      </c>
      <c r="P62" s="214"/>
      <c r="Q62" s="149"/>
      <c r="R62" s="149"/>
      <c r="S62" s="149"/>
      <c r="T62" s="149"/>
      <c r="U62" s="149"/>
    </row>
    <row r="63" spans="1:21" ht="21">
      <c r="A63" s="149" t="s">
        <v>678</v>
      </c>
      <c r="B63" s="149"/>
      <c r="C63" s="149">
        <v>89</v>
      </c>
      <c r="D63" s="149">
        <v>84</v>
      </c>
      <c r="E63" s="149">
        <v>175</v>
      </c>
      <c r="F63" s="323">
        <v>5</v>
      </c>
      <c r="G63" s="149">
        <v>28</v>
      </c>
      <c r="H63" s="149">
        <v>86</v>
      </c>
      <c r="I63" s="149">
        <v>56</v>
      </c>
      <c r="J63" s="149"/>
      <c r="K63" s="149"/>
      <c r="L63" s="149"/>
      <c r="M63" s="149"/>
      <c r="N63" s="323">
        <v>89</v>
      </c>
      <c r="O63" s="323">
        <v>84</v>
      </c>
      <c r="P63" s="149"/>
      <c r="Q63" s="149"/>
      <c r="R63" s="149"/>
      <c r="S63" s="149"/>
      <c r="T63" s="149"/>
      <c r="U63" s="149"/>
    </row>
    <row r="64" spans="1:21" ht="21">
      <c r="A64" s="149" t="s">
        <v>679</v>
      </c>
      <c r="B64" s="149"/>
      <c r="C64" s="149">
        <v>25</v>
      </c>
      <c r="D64" s="149">
        <v>10</v>
      </c>
      <c r="E64" s="149">
        <v>35</v>
      </c>
      <c r="F64" s="149">
        <v>5</v>
      </c>
      <c r="G64" s="149"/>
      <c r="H64" s="149">
        <v>20</v>
      </c>
      <c r="I64" s="149">
        <v>10</v>
      </c>
      <c r="J64" s="149"/>
      <c r="K64" s="149"/>
      <c r="L64" s="149"/>
      <c r="M64" s="149"/>
      <c r="N64" s="323">
        <v>25</v>
      </c>
      <c r="O64" s="323">
        <v>10</v>
      </c>
      <c r="P64" s="149"/>
      <c r="Q64" s="149"/>
      <c r="R64" s="149"/>
      <c r="S64" s="149"/>
      <c r="T64" s="149"/>
      <c r="U64" s="149"/>
    </row>
    <row r="65" spans="1:21" ht="21">
      <c r="A65" s="149" t="s">
        <v>680</v>
      </c>
      <c r="B65" s="149"/>
      <c r="C65" s="149">
        <v>50</v>
      </c>
      <c r="D65" s="149">
        <v>30</v>
      </c>
      <c r="E65" s="149">
        <v>80</v>
      </c>
      <c r="F65" s="149">
        <v>10</v>
      </c>
      <c r="G65" s="149">
        <v>5</v>
      </c>
      <c r="H65" s="149">
        <v>40</v>
      </c>
      <c r="I65" s="149">
        <v>25</v>
      </c>
      <c r="J65" s="149"/>
      <c r="K65" s="149"/>
      <c r="L65" s="149"/>
      <c r="M65" s="149"/>
      <c r="N65" s="323">
        <v>50</v>
      </c>
      <c r="O65" s="323">
        <v>30</v>
      </c>
      <c r="P65" s="149"/>
      <c r="Q65" s="149"/>
      <c r="R65" s="149"/>
      <c r="S65" s="149"/>
      <c r="T65" s="149"/>
      <c r="U65" s="149"/>
    </row>
    <row r="66" spans="1:21" ht="21">
      <c r="A66" s="149" t="s">
        <v>681</v>
      </c>
      <c r="B66" s="149"/>
      <c r="C66" s="149">
        <v>100</v>
      </c>
      <c r="D66" s="149">
        <v>93</v>
      </c>
      <c r="E66" s="149">
        <v>193</v>
      </c>
      <c r="F66" s="149">
        <v>15</v>
      </c>
      <c r="G66" s="149">
        <v>20</v>
      </c>
      <c r="H66" s="149">
        <v>55</v>
      </c>
      <c r="I66" s="149">
        <v>40</v>
      </c>
      <c r="J66" s="149">
        <v>30</v>
      </c>
      <c r="K66" s="149">
        <v>13</v>
      </c>
      <c r="L66" s="149">
        <v>10</v>
      </c>
      <c r="M66" s="149">
        <v>10</v>
      </c>
      <c r="N66" s="323">
        <v>100</v>
      </c>
      <c r="O66" s="323">
        <v>93</v>
      </c>
      <c r="P66" s="149"/>
      <c r="Q66" s="149"/>
      <c r="R66" s="149"/>
      <c r="S66" s="149"/>
      <c r="T66" s="149"/>
      <c r="U66" s="149"/>
    </row>
    <row r="67" spans="1:21" ht="21">
      <c r="A67" s="185" t="s">
        <v>75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</row>
    <row r="68" spans="1:21" ht="21">
      <c r="A68" s="149" t="s">
        <v>682</v>
      </c>
      <c r="B68" s="149"/>
      <c r="C68" s="149">
        <v>16</v>
      </c>
      <c r="D68" s="149">
        <v>10</v>
      </c>
      <c r="E68" s="149"/>
      <c r="F68" s="149"/>
      <c r="G68" s="149"/>
      <c r="H68" s="149"/>
      <c r="I68" s="149"/>
      <c r="J68" s="149">
        <v>16</v>
      </c>
      <c r="K68" s="149">
        <v>10</v>
      </c>
      <c r="L68" s="149"/>
      <c r="M68" s="149"/>
      <c r="N68" s="149">
        <v>16</v>
      </c>
      <c r="O68" s="149">
        <v>10</v>
      </c>
      <c r="P68" s="149"/>
      <c r="Q68" s="149"/>
      <c r="R68" s="149"/>
      <c r="S68" s="149"/>
      <c r="T68" s="149"/>
      <c r="U68" s="149"/>
    </row>
    <row r="69" spans="1:21" ht="21">
      <c r="A69" s="324" t="s">
        <v>683</v>
      </c>
      <c r="B69" s="149" t="s">
        <v>684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</row>
    <row r="70" spans="1:21" ht="21">
      <c r="A70" s="324" t="s">
        <v>685</v>
      </c>
      <c r="B70" s="149"/>
      <c r="C70" s="149">
        <v>70</v>
      </c>
      <c r="D70" s="149">
        <v>110</v>
      </c>
      <c r="E70" s="149"/>
      <c r="F70" s="149"/>
      <c r="G70" s="149"/>
      <c r="H70" s="149">
        <v>50</v>
      </c>
      <c r="I70" s="149">
        <v>50</v>
      </c>
      <c r="J70" s="149">
        <v>20</v>
      </c>
      <c r="K70" s="149">
        <v>60</v>
      </c>
      <c r="L70" s="149"/>
      <c r="M70" s="149"/>
      <c r="N70" s="149">
        <v>70</v>
      </c>
      <c r="O70" s="149">
        <v>110</v>
      </c>
      <c r="P70" s="149"/>
      <c r="Q70" s="149"/>
      <c r="R70" s="149"/>
      <c r="S70" s="149"/>
      <c r="T70" s="149"/>
      <c r="U70" s="149"/>
    </row>
    <row r="71" spans="1:21" ht="21">
      <c r="A71" s="324" t="s">
        <v>686</v>
      </c>
      <c r="B71" s="149">
        <v>100</v>
      </c>
      <c r="C71" s="149">
        <v>50</v>
      </c>
      <c r="D71" s="149">
        <v>50</v>
      </c>
      <c r="E71" s="149"/>
      <c r="F71" s="149"/>
      <c r="G71" s="149"/>
      <c r="H71" s="149">
        <v>50</v>
      </c>
      <c r="I71" s="149">
        <v>50</v>
      </c>
      <c r="J71" s="149"/>
      <c r="K71" s="149"/>
      <c r="L71" s="149"/>
      <c r="M71" s="149"/>
      <c r="N71" s="149">
        <v>50</v>
      </c>
      <c r="O71" s="149">
        <v>50</v>
      </c>
      <c r="P71" s="149"/>
      <c r="Q71" s="149"/>
      <c r="R71" s="149"/>
      <c r="S71" s="149"/>
      <c r="T71" s="149"/>
      <c r="U71" s="149"/>
    </row>
    <row r="72" spans="1:21" ht="21">
      <c r="A72" s="324" t="s">
        <v>687</v>
      </c>
      <c r="B72" s="149">
        <v>1349</v>
      </c>
      <c r="C72" s="149">
        <v>649</v>
      </c>
      <c r="D72" s="149">
        <v>700</v>
      </c>
      <c r="E72" s="149"/>
      <c r="F72" s="149"/>
      <c r="G72" s="149"/>
      <c r="H72" s="149"/>
      <c r="I72" s="149"/>
      <c r="J72" s="149"/>
      <c r="K72" s="149"/>
      <c r="L72" s="149"/>
      <c r="M72" s="149"/>
      <c r="N72" s="149">
        <v>649</v>
      </c>
      <c r="O72" s="149">
        <v>700</v>
      </c>
      <c r="P72" s="149"/>
      <c r="Q72" s="149"/>
      <c r="R72" s="149"/>
      <c r="S72" s="149"/>
      <c r="T72" s="149"/>
      <c r="U72" s="149"/>
    </row>
    <row r="73" spans="1:21" ht="21">
      <c r="A73" s="193" t="s">
        <v>77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49"/>
      <c r="P73" s="149"/>
      <c r="Q73" s="149"/>
      <c r="R73" s="149"/>
      <c r="S73" s="149"/>
      <c r="T73" s="149"/>
      <c r="U73" s="149"/>
    </row>
    <row r="74" spans="1:21" s="165" customFormat="1" ht="21">
      <c r="A74" s="168" t="s">
        <v>78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</row>
    <row r="75" spans="1:21" s="165" customFormat="1" ht="21">
      <c r="A75" s="168" t="s">
        <v>348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</row>
    <row r="76" spans="1:21" s="165" customFormat="1" ht="21">
      <c r="A76" s="168" t="s">
        <v>349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</row>
    <row r="77" spans="1:21" ht="21">
      <c r="A77" s="145" t="s">
        <v>688</v>
      </c>
      <c r="B77" s="149">
        <v>88</v>
      </c>
      <c r="C77" s="149"/>
      <c r="D77" s="149"/>
      <c r="E77" s="149"/>
      <c r="F77" s="149"/>
      <c r="G77" s="149"/>
      <c r="H77" s="149">
        <v>35</v>
      </c>
      <c r="I77" s="149">
        <v>50</v>
      </c>
      <c r="J77" s="149">
        <v>1</v>
      </c>
      <c r="K77" s="149">
        <v>2</v>
      </c>
      <c r="L77" s="149"/>
      <c r="M77" s="149"/>
      <c r="N77" s="149">
        <v>36</v>
      </c>
      <c r="O77" s="149">
        <v>52</v>
      </c>
      <c r="P77" s="149"/>
      <c r="Q77" s="213">
        <v>5400</v>
      </c>
      <c r="R77" s="149"/>
      <c r="S77" s="213">
        <v>5400</v>
      </c>
      <c r="T77" s="149"/>
      <c r="U77" s="149"/>
    </row>
    <row r="78" spans="1:21" ht="21">
      <c r="A78" s="145" t="s">
        <v>689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</row>
    <row r="79" spans="1:21" s="165" customFormat="1" ht="21">
      <c r="A79" s="168" t="s">
        <v>353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</row>
    <row r="80" spans="1:21" s="165" customFormat="1" ht="21">
      <c r="A80" s="130" t="s">
        <v>86</v>
      </c>
      <c r="B80" s="130">
        <v>43</v>
      </c>
      <c r="C80" s="130"/>
      <c r="D80" s="130"/>
      <c r="E80" s="130"/>
      <c r="F80" s="130"/>
      <c r="G80" s="130"/>
      <c r="H80" s="130">
        <v>10</v>
      </c>
      <c r="I80" s="130">
        <v>15</v>
      </c>
      <c r="J80" s="130">
        <v>4</v>
      </c>
      <c r="K80" s="130">
        <v>4</v>
      </c>
      <c r="L80" s="130"/>
      <c r="M80" s="130"/>
      <c r="N80" s="130">
        <v>24</v>
      </c>
      <c r="O80" s="130">
        <v>19</v>
      </c>
      <c r="P80" s="130"/>
      <c r="Q80" s="130"/>
      <c r="R80" s="130"/>
      <c r="S80" s="130"/>
      <c r="T80" s="130"/>
      <c r="U80" s="130"/>
    </row>
    <row r="81" spans="1:21" s="165" customFormat="1" ht="21">
      <c r="A81" s="130" t="s">
        <v>87</v>
      </c>
      <c r="B81" s="130">
        <v>135</v>
      </c>
      <c r="C81" s="130"/>
      <c r="D81" s="130"/>
      <c r="E81" s="130"/>
      <c r="F81" s="130"/>
      <c r="G81" s="130"/>
      <c r="H81" s="130">
        <v>60</v>
      </c>
      <c r="I81" s="130">
        <v>30</v>
      </c>
      <c r="J81" s="130">
        <v>19</v>
      </c>
      <c r="K81" s="130">
        <v>6</v>
      </c>
      <c r="L81" s="130"/>
      <c r="M81" s="130"/>
      <c r="N81" s="130">
        <v>79</v>
      </c>
      <c r="O81" s="130">
        <v>36</v>
      </c>
      <c r="P81" s="130"/>
      <c r="Q81" s="130"/>
      <c r="R81" s="130"/>
      <c r="S81" s="130"/>
      <c r="T81" s="130"/>
      <c r="U81" s="130"/>
    </row>
    <row r="82" spans="1:21" s="165" customFormat="1" ht="21">
      <c r="A82" s="130" t="s">
        <v>88</v>
      </c>
      <c r="B82" s="130">
        <v>173</v>
      </c>
      <c r="C82" s="130"/>
      <c r="D82" s="130"/>
      <c r="E82" s="130"/>
      <c r="F82" s="130"/>
      <c r="G82" s="130"/>
      <c r="H82" s="130">
        <v>90</v>
      </c>
      <c r="I82" s="130">
        <v>60</v>
      </c>
      <c r="J82" s="130">
        <v>6</v>
      </c>
      <c r="K82" s="130">
        <v>17</v>
      </c>
      <c r="L82" s="130"/>
      <c r="M82" s="130"/>
      <c r="N82" s="130">
        <v>96</v>
      </c>
      <c r="O82" s="130">
        <v>77</v>
      </c>
      <c r="P82" s="130"/>
      <c r="Q82" s="130"/>
      <c r="R82" s="130"/>
      <c r="S82" s="130"/>
      <c r="T82" s="130"/>
      <c r="U82" s="130"/>
    </row>
    <row r="83" spans="1:21" s="165" customFormat="1" ht="21">
      <c r="A83" s="168" t="s">
        <v>354</v>
      </c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</row>
    <row r="84" spans="1:21" s="165" customFormat="1" ht="21">
      <c r="A84" s="130" t="s">
        <v>86</v>
      </c>
      <c r="B84" s="130">
        <v>1</v>
      </c>
      <c r="C84" s="130"/>
      <c r="D84" s="130">
        <v>1</v>
      </c>
      <c r="E84" s="130">
        <v>1</v>
      </c>
      <c r="F84" s="130"/>
      <c r="G84" s="130">
        <v>1</v>
      </c>
      <c r="H84" s="130"/>
      <c r="I84" s="130"/>
      <c r="J84" s="130"/>
      <c r="K84" s="130"/>
      <c r="L84" s="130"/>
      <c r="M84" s="130"/>
      <c r="N84" s="130"/>
      <c r="O84" s="130">
        <v>1</v>
      </c>
      <c r="P84" s="130"/>
      <c r="Q84" s="130"/>
      <c r="R84" s="130"/>
      <c r="S84" s="130"/>
      <c r="T84" s="130"/>
      <c r="U84" s="130"/>
    </row>
    <row r="85" spans="1:21" s="165" customFormat="1" ht="21">
      <c r="A85" s="130" t="s">
        <v>87</v>
      </c>
      <c r="B85" s="130">
        <v>26</v>
      </c>
      <c r="C85" s="130">
        <v>14</v>
      </c>
      <c r="D85" s="130">
        <v>12</v>
      </c>
      <c r="E85" s="130">
        <v>26</v>
      </c>
      <c r="F85" s="130"/>
      <c r="G85" s="130"/>
      <c r="H85" s="130">
        <v>14</v>
      </c>
      <c r="I85" s="130">
        <v>12</v>
      </c>
      <c r="J85" s="130"/>
      <c r="K85" s="130"/>
      <c r="L85" s="130"/>
      <c r="M85" s="130"/>
      <c r="N85" s="130">
        <v>14</v>
      </c>
      <c r="O85" s="130">
        <v>12</v>
      </c>
      <c r="P85" s="130"/>
      <c r="Q85" s="130"/>
      <c r="R85" s="130"/>
      <c r="S85" s="130"/>
      <c r="T85" s="130"/>
      <c r="U85" s="130"/>
    </row>
    <row r="86" spans="1:21" s="165" customFormat="1" ht="21">
      <c r="A86" s="130" t="s">
        <v>88</v>
      </c>
      <c r="B86" s="130">
        <v>54</v>
      </c>
      <c r="C86" s="130">
        <v>30</v>
      </c>
      <c r="D86" s="130">
        <v>24</v>
      </c>
      <c r="E86" s="130">
        <v>54</v>
      </c>
      <c r="F86" s="130"/>
      <c r="G86" s="130"/>
      <c r="H86" s="130">
        <v>30</v>
      </c>
      <c r="I86" s="130">
        <v>24</v>
      </c>
      <c r="J86" s="130"/>
      <c r="K86" s="130"/>
      <c r="L86" s="130"/>
      <c r="M86" s="130"/>
      <c r="N86" s="130">
        <v>30</v>
      </c>
      <c r="O86" s="130">
        <v>24</v>
      </c>
      <c r="P86" s="130"/>
      <c r="Q86" s="130"/>
      <c r="R86" s="130"/>
      <c r="S86" s="130"/>
      <c r="T86" s="130"/>
      <c r="U86" s="130"/>
    </row>
  </sheetData>
  <sheetProtection/>
  <mergeCells count="20"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PageLayoutView="0" workbookViewId="0" topLeftCell="A1">
      <selection activeCell="A1" sqref="A1:IV16384"/>
    </sheetView>
  </sheetViews>
  <sheetFormatPr defaultColWidth="8.140625" defaultRowHeight="15"/>
  <cols>
    <col min="1" max="1" width="42.57421875" style="402" customWidth="1"/>
    <col min="2" max="2" width="9.8515625" style="402" customWidth="1"/>
    <col min="3" max="3" width="6.7109375" style="402" customWidth="1"/>
    <col min="4" max="4" width="6.8515625" style="402" customWidth="1"/>
    <col min="5" max="5" width="8.00390625" style="402" customWidth="1"/>
    <col min="6" max="7" width="4.8515625" style="402" customWidth="1"/>
    <col min="8" max="8" width="6.140625" style="402" customWidth="1"/>
    <col min="9" max="9" width="6.28125" style="402" customWidth="1"/>
    <col min="10" max="10" width="5.140625" style="402" customWidth="1"/>
    <col min="11" max="11" width="4.8515625" style="402" customWidth="1"/>
    <col min="12" max="13" width="5.00390625" style="402" customWidth="1"/>
    <col min="14" max="14" width="7.140625" style="402" customWidth="1"/>
    <col min="15" max="15" width="7.57421875" style="402" customWidth="1"/>
    <col min="16" max="16" width="8.421875" style="402" customWidth="1"/>
    <col min="17" max="17" width="11.421875" style="402" customWidth="1"/>
    <col min="18" max="18" width="11.7109375" style="402" customWidth="1"/>
    <col min="19" max="19" width="10.8515625" style="402" customWidth="1"/>
    <col min="20" max="20" width="11.421875" style="402" customWidth="1"/>
    <col min="21" max="21" width="9.00390625" style="402" customWidth="1"/>
    <col min="22" max="16384" width="8.140625" style="402" customWidth="1"/>
  </cols>
  <sheetData>
    <row r="1" ht="21">
      <c r="N1" s="403"/>
    </row>
    <row r="2" spans="1:21" s="122" customFormat="1" ht="23.25">
      <c r="A2" s="371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</row>
    <row r="3" spans="1:21" s="122" customFormat="1" ht="23.25">
      <c r="A3" s="371" t="s">
        <v>690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</row>
    <row r="4" spans="1:21" s="122" customFormat="1" ht="23.25">
      <c r="A4" s="372" t="s">
        <v>691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</row>
    <row r="5" spans="1:23" s="204" customFormat="1" ht="132.75" customHeight="1">
      <c r="A5" s="404" t="s">
        <v>3</v>
      </c>
      <c r="B5" s="401" t="s">
        <v>692</v>
      </c>
      <c r="C5" s="401" t="s">
        <v>5</v>
      </c>
      <c r="D5" s="401"/>
      <c r="E5" s="401" t="s">
        <v>693</v>
      </c>
      <c r="F5" s="401" t="s">
        <v>6</v>
      </c>
      <c r="G5" s="401"/>
      <c r="H5" s="401"/>
      <c r="I5" s="401"/>
      <c r="J5" s="401"/>
      <c r="K5" s="401"/>
      <c r="L5" s="401"/>
      <c r="M5" s="401"/>
      <c r="N5" s="401" t="s">
        <v>7</v>
      </c>
      <c r="O5" s="401"/>
      <c r="P5" s="401" t="s">
        <v>694</v>
      </c>
      <c r="Q5" s="405" t="s">
        <v>9</v>
      </c>
      <c r="R5" s="401" t="s">
        <v>10</v>
      </c>
      <c r="S5" s="401" t="s">
        <v>11</v>
      </c>
      <c r="T5" s="401" t="s">
        <v>12</v>
      </c>
      <c r="U5" s="401" t="s">
        <v>13</v>
      </c>
      <c r="V5" s="203"/>
      <c r="W5" s="203"/>
    </row>
    <row r="6" spans="1:23" s="204" customFormat="1" ht="28.5" customHeight="1">
      <c r="A6" s="404"/>
      <c r="B6" s="401"/>
      <c r="C6" s="401"/>
      <c r="D6" s="401"/>
      <c r="E6" s="401"/>
      <c r="F6" s="370" t="s">
        <v>14</v>
      </c>
      <c r="G6" s="370"/>
      <c r="H6" s="370" t="s">
        <v>15</v>
      </c>
      <c r="I6" s="370"/>
      <c r="J6" s="370" t="s">
        <v>16</v>
      </c>
      <c r="K6" s="370"/>
      <c r="L6" s="370" t="s">
        <v>17</v>
      </c>
      <c r="M6" s="370"/>
      <c r="N6" s="401"/>
      <c r="O6" s="401"/>
      <c r="P6" s="401"/>
      <c r="Q6" s="405"/>
      <c r="R6" s="401"/>
      <c r="S6" s="401"/>
      <c r="T6" s="401"/>
      <c r="U6" s="401"/>
      <c r="V6" s="203"/>
      <c r="W6" s="203"/>
    </row>
    <row r="7" spans="1:21" s="204" customFormat="1" ht="24" customHeight="1">
      <c r="A7" s="404"/>
      <c r="B7" s="401"/>
      <c r="C7" s="123" t="s">
        <v>18</v>
      </c>
      <c r="D7" s="123" t="s">
        <v>19</v>
      </c>
      <c r="E7" s="158" t="s">
        <v>20</v>
      </c>
      <c r="F7" s="123" t="s">
        <v>18</v>
      </c>
      <c r="G7" s="123" t="s">
        <v>19</v>
      </c>
      <c r="H7" s="123" t="s">
        <v>18</v>
      </c>
      <c r="I7" s="123" t="s">
        <v>19</v>
      </c>
      <c r="J7" s="123" t="s">
        <v>18</v>
      </c>
      <c r="K7" s="123" t="s">
        <v>19</v>
      </c>
      <c r="L7" s="123" t="s">
        <v>18</v>
      </c>
      <c r="M7" s="123" t="s">
        <v>19</v>
      </c>
      <c r="N7" s="123" t="s">
        <v>18</v>
      </c>
      <c r="O7" s="123" t="s">
        <v>19</v>
      </c>
      <c r="P7" s="401"/>
      <c r="Q7" s="405"/>
      <c r="R7" s="401"/>
      <c r="S7" s="401"/>
      <c r="T7" s="401"/>
      <c r="U7" s="401"/>
    </row>
    <row r="8" spans="1:21" s="204" customFormat="1" ht="24" customHeight="1">
      <c r="A8" s="406" t="s">
        <v>22</v>
      </c>
      <c r="B8" s="364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6"/>
    </row>
    <row r="9" spans="1:21" s="207" customFormat="1" ht="26.25" customHeight="1">
      <c r="A9" s="407" t="s">
        <v>23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9"/>
      <c r="R9" s="409"/>
      <c r="S9" s="409"/>
      <c r="T9" s="409"/>
      <c r="U9" s="409"/>
    </row>
    <row r="10" spans="1:21" s="165" customFormat="1" ht="21">
      <c r="A10" s="410" t="s">
        <v>24</v>
      </c>
      <c r="B10" s="411">
        <v>9</v>
      </c>
      <c r="C10" s="412">
        <v>2</v>
      </c>
      <c r="D10" s="413">
        <v>7</v>
      </c>
      <c r="E10" s="414">
        <v>9</v>
      </c>
      <c r="F10" s="415"/>
      <c r="G10" s="415"/>
      <c r="H10" s="415"/>
      <c r="I10" s="415"/>
      <c r="J10" s="416"/>
      <c r="K10" s="417"/>
      <c r="L10" s="418"/>
      <c r="M10" s="418"/>
      <c r="N10" s="412">
        <v>2</v>
      </c>
      <c r="O10" s="413">
        <v>7</v>
      </c>
      <c r="P10" s="412">
        <v>100</v>
      </c>
      <c r="Q10" s="419">
        <v>33000</v>
      </c>
      <c r="R10" s="420"/>
      <c r="S10" s="421"/>
      <c r="T10" s="422">
        <v>16499.55</v>
      </c>
      <c r="U10" s="423">
        <v>50</v>
      </c>
    </row>
    <row r="11" spans="1:21" s="165" customFormat="1" ht="21">
      <c r="A11" s="424" t="s">
        <v>695</v>
      </c>
      <c r="B11" s="411"/>
      <c r="C11" s="412"/>
      <c r="D11" s="413"/>
      <c r="E11" s="414"/>
      <c r="F11" s="415"/>
      <c r="G11" s="415"/>
      <c r="H11" s="415"/>
      <c r="I11" s="415"/>
      <c r="J11" s="416"/>
      <c r="K11" s="417"/>
      <c r="L11" s="418"/>
      <c r="M11" s="418"/>
      <c r="N11" s="412"/>
      <c r="O11" s="413"/>
      <c r="P11" s="412"/>
      <c r="Q11" s="421">
        <v>3600</v>
      </c>
      <c r="R11" s="421">
        <v>3600</v>
      </c>
      <c r="S11" s="421"/>
      <c r="T11" s="422"/>
      <c r="U11" s="423"/>
    </row>
    <row r="12" spans="1:21" s="165" customFormat="1" ht="21">
      <c r="A12" s="425" t="s">
        <v>695</v>
      </c>
      <c r="B12" s="426"/>
      <c r="C12" s="427"/>
      <c r="D12" s="426"/>
      <c r="E12" s="158"/>
      <c r="F12" s="130"/>
      <c r="G12" s="130"/>
      <c r="H12" s="130"/>
      <c r="I12" s="130"/>
      <c r="J12" s="428"/>
      <c r="K12" s="429"/>
      <c r="L12" s="131"/>
      <c r="M12" s="131"/>
      <c r="N12" s="427"/>
      <c r="O12" s="426"/>
      <c r="P12" s="427"/>
      <c r="Q12" s="430">
        <v>4912</v>
      </c>
      <c r="R12" s="431">
        <v>4912</v>
      </c>
      <c r="S12" s="431"/>
      <c r="T12" s="431"/>
      <c r="U12" s="432"/>
    </row>
    <row r="13" spans="1:21" s="165" customFormat="1" ht="21">
      <c r="A13" s="433" t="s">
        <v>695</v>
      </c>
      <c r="B13" s="434"/>
      <c r="C13" s="435"/>
      <c r="D13" s="434"/>
      <c r="E13" s="436"/>
      <c r="F13" s="437"/>
      <c r="G13" s="437"/>
      <c r="H13" s="437"/>
      <c r="I13" s="437"/>
      <c r="J13" s="438"/>
      <c r="K13" s="429"/>
      <c r="L13" s="439"/>
      <c r="M13" s="439"/>
      <c r="N13" s="435"/>
      <c r="O13" s="434"/>
      <c r="P13" s="435"/>
      <c r="Q13" s="440">
        <v>7987.55</v>
      </c>
      <c r="R13" s="440">
        <v>7987.55</v>
      </c>
      <c r="S13" s="440"/>
      <c r="T13" s="441"/>
      <c r="U13" s="441"/>
    </row>
    <row r="14" spans="1:21" s="165" customFormat="1" ht="21">
      <c r="A14" s="442" t="s">
        <v>696</v>
      </c>
      <c r="B14" s="443"/>
      <c r="C14" s="437"/>
      <c r="D14" s="437"/>
      <c r="E14" s="437"/>
      <c r="F14" s="437"/>
      <c r="G14" s="437"/>
      <c r="H14" s="437"/>
      <c r="I14" s="437"/>
      <c r="J14" s="437"/>
      <c r="K14" s="444"/>
      <c r="L14" s="437"/>
      <c r="M14" s="437"/>
      <c r="N14" s="276"/>
      <c r="O14" s="276"/>
      <c r="P14" s="276"/>
      <c r="Q14" s="445"/>
      <c r="R14" s="445"/>
      <c r="S14" s="445"/>
      <c r="T14" s="445"/>
      <c r="U14" s="445"/>
    </row>
    <row r="15" spans="1:22" s="165" customFormat="1" ht="21">
      <c r="A15" s="446" t="s">
        <v>697</v>
      </c>
      <c r="B15" s="447"/>
      <c r="C15" s="448"/>
      <c r="D15" s="448"/>
      <c r="E15" s="448"/>
      <c r="F15" s="130"/>
      <c r="G15" s="449"/>
      <c r="H15" s="428"/>
      <c r="I15" s="428"/>
      <c r="J15" s="428"/>
      <c r="K15" s="428"/>
      <c r="L15" s="428"/>
      <c r="M15" s="428"/>
      <c r="N15" s="448"/>
      <c r="O15" s="448"/>
      <c r="P15" s="450"/>
      <c r="Q15" s="427"/>
      <c r="R15" s="451"/>
      <c r="S15" s="143"/>
      <c r="T15" s="452"/>
      <c r="U15" s="451"/>
      <c r="V15" s="453"/>
    </row>
    <row r="16" spans="1:21" s="165" customFormat="1" ht="21">
      <c r="A16" s="446" t="s">
        <v>698</v>
      </c>
      <c r="B16" s="454">
        <v>195</v>
      </c>
      <c r="C16" s="454">
        <v>70</v>
      </c>
      <c r="D16" s="454">
        <v>118</v>
      </c>
      <c r="E16" s="454">
        <v>188</v>
      </c>
      <c r="F16" s="454"/>
      <c r="G16" s="454"/>
      <c r="H16" s="454">
        <v>10</v>
      </c>
      <c r="I16" s="454"/>
      <c r="J16" s="454">
        <v>10</v>
      </c>
      <c r="K16" s="454">
        <v>20</v>
      </c>
      <c r="L16" s="454"/>
      <c r="M16" s="454"/>
      <c r="N16" s="454">
        <v>98</v>
      </c>
      <c r="O16" s="454">
        <v>156</v>
      </c>
      <c r="P16" s="454">
        <v>130</v>
      </c>
      <c r="Q16" s="455">
        <v>359100</v>
      </c>
      <c r="R16" s="455">
        <v>190500</v>
      </c>
      <c r="S16" s="456" t="s">
        <v>629</v>
      </c>
      <c r="T16" s="431">
        <v>190500</v>
      </c>
      <c r="U16" s="432">
        <v>53.03</v>
      </c>
    </row>
    <row r="17" spans="1:21" s="165" customFormat="1" ht="21">
      <c r="A17" s="457" t="s">
        <v>699</v>
      </c>
      <c r="B17" s="458">
        <v>18</v>
      </c>
      <c r="C17" s="458"/>
      <c r="D17" s="458"/>
      <c r="E17" s="458"/>
      <c r="F17" s="458"/>
      <c r="G17" s="458"/>
      <c r="H17" s="458"/>
      <c r="I17" s="458"/>
      <c r="J17" s="458">
        <v>8</v>
      </c>
      <c r="K17" s="458">
        <v>10</v>
      </c>
      <c r="L17" s="458"/>
      <c r="M17" s="458"/>
      <c r="N17" s="458">
        <v>8</v>
      </c>
      <c r="O17" s="458">
        <v>10</v>
      </c>
      <c r="P17" s="458"/>
      <c r="Q17" s="459">
        <v>7000</v>
      </c>
      <c r="R17" s="459"/>
      <c r="S17" s="460">
        <v>7000</v>
      </c>
      <c r="T17" s="431">
        <v>7000</v>
      </c>
      <c r="U17" s="441"/>
    </row>
    <row r="18" spans="1:21" s="165" customFormat="1" ht="21">
      <c r="A18" s="457" t="s">
        <v>700</v>
      </c>
      <c r="B18" s="458">
        <v>18</v>
      </c>
      <c r="C18" s="458"/>
      <c r="D18" s="458"/>
      <c r="E18" s="458"/>
      <c r="F18" s="458"/>
      <c r="G18" s="458"/>
      <c r="H18" s="458"/>
      <c r="I18" s="458"/>
      <c r="J18" s="458"/>
      <c r="K18" s="458">
        <v>18</v>
      </c>
      <c r="L18" s="458"/>
      <c r="M18" s="458"/>
      <c r="N18" s="458"/>
      <c r="O18" s="458">
        <v>18</v>
      </c>
      <c r="P18" s="458"/>
      <c r="Q18" s="459">
        <v>5000</v>
      </c>
      <c r="R18" s="459"/>
      <c r="S18" s="460">
        <v>5000</v>
      </c>
      <c r="T18" s="461">
        <v>5000</v>
      </c>
      <c r="U18" s="441"/>
    </row>
    <row r="19" spans="1:21" s="165" customFormat="1" ht="21">
      <c r="A19" s="457" t="s">
        <v>701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9">
        <v>3000</v>
      </c>
      <c r="R19" s="459"/>
      <c r="S19" s="460">
        <v>3000</v>
      </c>
      <c r="T19" s="461">
        <v>3000</v>
      </c>
      <c r="U19" s="441"/>
    </row>
    <row r="20" spans="1:21" s="165" customFormat="1" ht="21">
      <c r="A20" s="442" t="s">
        <v>38</v>
      </c>
      <c r="B20" s="435">
        <v>105</v>
      </c>
      <c r="C20" s="462" t="s">
        <v>629</v>
      </c>
      <c r="D20" s="435">
        <v>40</v>
      </c>
      <c r="E20" s="435">
        <v>40</v>
      </c>
      <c r="F20" s="439"/>
      <c r="G20" s="439"/>
      <c r="H20" s="463">
        <v>42</v>
      </c>
      <c r="I20" s="463">
        <v>38</v>
      </c>
      <c r="J20" s="463">
        <v>10</v>
      </c>
      <c r="K20" s="463">
        <v>15</v>
      </c>
      <c r="L20" s="438"/>
      <c r="M20" s="438"/>
      <c r="N20" s="435">
        <v>91</v>
      </c>
      <c r="O20" s="435">
        <v>153</v>
      </c>
      <c r="P20" s="435">
        <v>232</v>
      </c>
      <c r="Q20" s="464">
        <v>24150</v>
      </c>
      <c r="R20" s="465">
        <v>12075</v>
      </c>
      <c r="S20" s="466" t="s">
        <v>629</v>
      </c>
      <c r="T20" s="467">
        <v>12075</v>
      </c>
      <c r="U20" s="441">
        <v>50</v>
      </c>
    </row>
    <row r="21" spans="1:21" s="165" customFormat="1" ht="21" thickBot="1">
      <c r="A21" s="468"/>
      <c r="B21" s="435"/>
      <c r="C21" s="462"/>
      <c r="D21" s="435"/>
      <c r="E21" s="435"/>
      <c r="F21" s="439"/>
      <c r="G21" s="439"/>
      <c r="H21" s="463"/>
      <c r="I21" s="463"/>
      <c r="J21" s="463"/>
      <c r="K21" s="463"/>
      <c r="L21" s="438"/>
      <c r="M21" s="438"/>
      <c r="N21" s="435"/>
      <c r="O21" s="435"/>
      <c r="P21" s="435"/>
      <c r="Q21" s="464"/>
      <c r="R21" s="465"/>
      <c r="S21" s="466"/>
      <c r="T21" s="467"/>
      <c r="U21" s="441"/>
    </row>
    <row r="22" spans="1:21" s="165" customFormat="1" ht="21">
      <c r="A22" s="469" t="s">
        <v>40</v>
      </c>
      <c r="B22" s="470">
        <v>90</v>
      </c>
      <c r="C22" s="470">
        <v>4</v>
      </c>
      <c r="D22" s="470">
        <v>12</v>
      </c>
      <c r="E22" s="470"/>
      <c r="F22" s="471"/>
      <c r="G22" s="471"/>
      <c r="H22" s="470">
        <v>34</v>
      </c>
      <c r="I22" s="470">
        <v>37</v>
      </c>
      <c r="J22" s="470">
        <v>33</v>
      </c>
      <c r="K22" s="470">
        <v>61</v>
      </c>
      <c r="L22" s="470"/>
      <c r="M22" s="470"/>
      <c r="N22" s="470">
        <v>71</v>
      </c>
      <c r="O22" s="470">
        <v>110</v>
      </c>
      <c r="P22" s="470">
        <v>201</v>
      </c>
      <c r="Q22" s="472">
        <v>108000</v>
      </c>
      <c r="R22" s="473">
        <v>74700</v>
      </c>
      <c r="S22" s="474" t="s">
        <v>629</v>
      </c>
      <c r="T22" s="473">
        <v>74700</v>
      </c>
      <c r="U22" s="475">
        <v>69.17</v>
      </c>
    </row>
    <row r="23" spans="1:21" s="165" customFormat="1" ht="21">
      <c r="A23" s="433" t="s">
        <v>702</v>
      </c>
      <c r="B23" s="476">
        <v>99</v>
      </c>
      <c r="C23" s="477"/>
      <c r="D23" s="476"/>
      <c r="E23" s="476"/>
      <c r="F23" s="439"/>
      <c r="G23" s="439"/>
      <c r="H23" s="463">
        <v>39</v>
      </c>
      <c r="I23" s="463">
        <v>60</v>
      </c>
      <c r="J23" s="463"/>
      <c r="K23" s="463"/>
      <c r="L23" s="438"/>
      <c r="M23" s="438"/>
      <c r="N23" s="476">
        <v>39</v>
      </c>
      <c r="O23" s="476">
        <v>60</v>
      </c>
      <c r="P23" s="476"/>
      <c r="Q23" s="478">
        <v>20700</v>
      </c>
      <c r="R23" s="465"/>
      <c r="S23" s="466">
        <v>20700</v>
      </c>
      <c r="T23" s="465">
        <v>20700</v>
      </c>
      <c r="U23" s="479"/>
    </row>
    <row r="24" spans="1:22" s="165" customFormat="1" ht="21">
      <c r="A24" s="442" t="s">
        <v>45</v>
      </c>
      <c r="B24" s="427">
        <v>100</v>
      </c>
      <c r="C24" s="435">
        <v>32</v>
      </c>
      <c r="D24" s="435">
        <v>43</v>
      </c>
      <c r="E24" s="435"/>
      <c r="F24" s="480"/>
      <c r="G24" s="480"/>
      <c r="H24" s="481"/>
      <c r="I24" s="435"/>
      <c r="J24" s="481"/>
      <c r="K24" s="435"/>
      <c r="L24" s="481"/>
      <c r="M24" s="435"/>
      <c r="N24" s="435">
        <v>120</v>
      </c>
      <c r="O24" s="435">
        <v>115</v>
      </c>
      <c r="P24" s="435">
        <v>235</v>
      </c>
      <c r="Q24" s="464">
        <v>48000</v>
      </c>
      <c r="R24" s="431">
        <v>27500</v>
      </c>
      <c r="S24" s="482" t="s">
        <v>629</v>
      </c>
      <c r="T24" s="431">
        <v>27500</v>
      </c>
      <c r="U24" s="441">
        <v>57.29</v>
      </c>
      <c r="V24" s="483"/>
    </row>
    <row r="25" spans="1:22" s="165" customFormat="1" ht="21">
      <c r="A25" s="468" t="s">
        <v>703</v>
      </c>
      <c r="B25" s="427">
        <v>140</v>
      </c>
      <c r="C25" s="435"/>
      <c r="D25" s="435"/>
      <c r="E25" s="435"/>
      <c r="F25" s="480"/>
      <c r="G25" s="480"/>
      <c r="H25" s="481">
        <v>88</v>
      </c>
      <c r="I25" s="435">
        <v>52</v>
      </c>
      <c r="J25" s="481"/>
      <c r="K25" s="435"/>
      <c r="L25" s="481"/>
      <c r="M25" s="435"/>
      <c r="N25" s="435">
        <v>88</v>
      </c>
      <c r="O25" s="435">
        <v>52</v>
      </c>
      <c r="P25" s="435"/>
      <c r="Q25" s="464"/>
      <c r="R25" s="431"/>
      <c r="S25" s="482"/>
      <c r="T25" s="431"/>
      <c r="U25" s="441"/>
      <c r="V25" s="483"/>
    </row>
    <row r="26" spans="1:22" s="165" customFormat="1" ht="21">
      <c r="A26" s="433" t="s">
        <v>704</v>
      </c>
      <c r="B26" s="427">
        <v>20</v>
      </c>
      <c r="C26" s="435"/>
      <c r="D26" s="435"/>
      <c r="E26" s="435"/>
      <c r="F26" s="480"/>
      <c r="G26" s="480"/>
      <c r="H26" s="481"/>
      <c r="I26" s="435"/>
      <c r="J26" s="481"/>
      <c r="K26" s="435">
        <v>20</v>
      </c>
      <c r="L26" s="481"/>
      <c r="M26" s="435"/>
      <c r="N26" s="435"/>
      <c r="O26" s="435">
        <v>20</v>
      </c>
      <c r="P26" s="435"/>
      <c r="Q26" s="464">
        <v>3500</v>
      </c>
      <c r="R26" s="431"/>
      <c r="S26" s="484">
        <v>3500</v>
      </c>
      <c r="T26" s="431">
        <v>3500</v>
      </c>
      <c r="U26" s="441"/>
      <c r="V26" s="483"/>
    </row>
    <row r="27" spans="1:22" s="165" customFormat="1" ht="21">
      <c r="A27" s="129" t="s">
        <v>49</v>
      </c>
      <c r="B27" s="427">
        <v>420</v>
      </c>
      <c r="C27" s="427">
        <v>42</v>
      </c>
      <c r="D27" s="427">
        <v>115</v>
      </c>
      <c r="E27" s="427">
        <v>157</v>
      </c>
      <c r="F27" s="427"/>
      <c r="G27" s="427"/>
      <c r="H27" s="427"/>
      <c r="I27" s="427"/>
      <c r="J27" s="427"/>
      <c r="K27" s="427"/>
      <c r="L27" s="427">
        <v>42</v>
      </c>
      <c r="M27" s="427">
        <v>115</v>
      </c>
      <c r="N27" s="427">
        <v>42</v>
      </c>
      <c r="O27" s="427">
        <v>115</v>
      </c>
      <c r="P27" s="427">
        <v>37.75</v>
      </c>
      <c r="Q27" s="485"/>
      <c r="R27" s="485"/>
      <c r="S27" s="485"/>
      <c r="T27" s="143"/>
      <c r="U27" s="485"/>
      <c r="V27" s="486"/>
    </row>
    <row r="28" spans="1:21" s="122" customFormat="1" ht="21" customHeight="1">
      <c r="A28" s="129" t="s">
        <v>50</v>
      </c>
      <c r="B28" s="427">
        <v>59</v>
      </c>
      <c r="C28" s="487">
        <v>26</v>
      </c>
      <c r="D28" s="487">
        <v>33</v>
      </c>
      <c r="E28" s="487">
        <v>59</v>
      </c>
      <c r="F28" s="487"/>
      <c r="G28" s="487"/>
      <c r="H28" s="487">
        <v>26</v>
      </c>
      <c r="I28" s="487">
        <v>33</v>
      </c>
      <c r="J28" s="487"/>
      <c r="K28" s="487"/>
      <c r="L28" s="487"/>
      <c r="M28" s="487"/>
      <c r="N28" s="487">
        <v>26</v>
      </c>
      <c r="O28" s="463">
        <v>33</v>
      </c>
      <c r="P28" s="463">
        <v>100</v>
      </c>
      <c r="Q28" s="488">
        <v>780000</v>
      </c>
      <c r="R28" s="430">
        <v>513980</v>
      </c>
      <c r="S28" s="489" t="s">
        <v>629</v>
      </c>
      <c r="T28" s="430">
        <v>513980</v>
      </c>
      <c r="U28" s="426">
        <v>65.89</v>
      </c>
    </row>
    <row r="29" spans="1:21" s="122" customFormat="1" ht="21" customHeight="1">
      <c r="A29" s="129"/>
      <c r="B29" s="42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63"/>
      <c r="P29" s="463"/>
      <c r="Q29" s="488"/>
      <c r="R29" s="430"/>
      <c r="S29" s="489"/>
      <c r="T29" s="430"/>
      <c r="U29" s="426"/>
    </row>
    <row r="30" spans="1:21" s="165" customFormat="1" ht="42">
      <c r="A30" s="490" t="s">
        <v>52</v>
      </c>
      <c r="B30" s="491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3"/>
      <c r="S30" s="494"/>
      <c r="T30" s="493"/>
      <c r="U30" s="492"/>
    </row>
    <row r="31" spans="1:21" s="165" customFormat="1" ht="21">
      <c r="A31" s="129" t="s">
        <v>53</v>
      </c>
      <c r="B31" s="427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</row>
    <row r="32" spans="1:21" s="165" customFormat="1" ht="21">
      <c r="A32" s="129" t="s">
        <v>54</v>
      </c>
      <c r="B32" s="427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</row>
    <row r="33" spans="1:21" s="165" customFormat="1" ht="21">
      <c r="A33" s="129" t="s">
        <v>55</v>
      </c>
      <c r="B33" s="483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</row>
    <row r="34" spans="1:21" s="122" customFormat="1" ht="21">
      <c r="A34" s="129" t="s">
        <v>56</v>
      </c>
      <c r="B34" s="427">
        <v>114</v>
      </c>
      <c r="C34" s="495"/>
      <c r="D34" s="495"/>
      <c r="E34" s="495"/>
      <c r="F34" s="495"/>
      <c r="G34" s="495"/>
      <c r="H34" s="496">
        <v>20</v>
      </c>
      <c r="I34" s="496">
        <v>35</v>
      </c>
      <c r="J34" s="496">
        <v>27</v>
      </c>
      <c r="K34" s="496">
        <v>32</v>
      </c>
      <c r="L34" s="496"/>
      <c r="M34" s="496"/>
      <c r="N34" s="496">
        <v>47</v>
      </c>
      <c r="O34" s="147">
        <v>67</v>
      </c>
      <c r="P34" s="147">
        <v>100</v>
      </c>
      <c r="Q34" s="148"/>
      <c r="R34" s="148"/>
      <c r="S34" s="148"/>
      <c r="T34" s="148"/>
      <c r="U34" s="148"/>
    </row>
    <row r="35" spans="1:21" s="165" customFormat="1" ht="42">
      <c r="A35" s="490" t="s">
        <v>57</v>
      </c>
      <c r="B35" s="492"/>
      <c r="C35" s="492"/>
      <c r="D35" s="492"/>
      <c r="E35" s="492"/>
      <c r="F35" s="492"/>
      <c r="G35" s="492"/>
      <c r="H35" s="497"/>
      <c r="I35" s="497"/>
      <c r="J35" s="497"/>
      <c r="K35" s="497"/>
      <c r="L35" s="497"/>
      <c r="M35" s="497"/>
      <c r="N35" s="497"/>
      <c r="O35" s="497"/>
      <c r="P35" s="497"/>
      <c r="Q35" s="492"/>
      <c r="R35" s="492"/>
      <c r="S35" s="492"/>
      <c r="T35" s="492"/>
      <c r="U35" s="492"/>
    </row>
    <row r="36" spans="1:21" s="165" customFormat="1" ht="42">
      <c r="A36" s="164" t="s">
        <v>58</v>
      </c>
      <c r="B36" s="130"/>
      <c r="C36" s="130"/>
      <c r="D36" s="130"/>
      <c r="E36" s="130"/>
      <c r="F36" s="130"/>
      <c r="G36" s="130"/>
      <c r="H36" s="131"/>
      <c r="I36" s="131"/>
      <c r="J36" s="131"/>
      <c r="K36" s="131"/>
      <c r="L36" s="131"/>
      <c r="M36" s="131"/>
      <c r="N36" s="131"/>
      <c r="O36" s="131"/>
      <c r="P36" s="131"/>
      <c r="Q36" s="130"/>
      <c r="R36" s="130"/>
      <c r="S36" s="130"/>
      <c r="T36" s="130"/>
      <c r="U36" s="485"/>
    </row>
    <row r="37" spans="1:21" s="165" customFormat="1" ht="21">
      <c r="A37" s="129" t="s">
        <v>59</v>
      </c>
      <c r="C37" s="130"/>
      <c r="D37" s="130"/>
      <c r="E37" s="130"/>
      <c r="F37" s="130"/>
      <c r="G37" s="130"/>
      <c r="H37" s="131"/>
      <c r="I37" s="131"/>
      <c r="J37" s="131"/>
      <c r="K37" s="131"/>
      <c r="L37" s="131"/>
      <c r="M37" s="131"/>
      <c r="N37" s="131"/>
      <c r="O37" s="131"/>
      <c r="P37" s="131"/>
      <c r="Q37" s="130"/>
      <c r="R37" s="130"/>
      <c r="S37" s="130"/>
      <c r="T37" s="130"/>
      <c r="U37" s="485"/>
    </row>
    <row r="38" spans="1:21" s="165" customFormat="1" ht="21">
      <c r="A38" s="129" t="s">
        <v>60</v>
      </c>
      <c r="B38" s="130"/>
      <c r="C38" s="130"/>
      <c r="D38" s="130"/>
      <c r="E38" s="130"/>
      <c r="F38" s="130"/>
      <c r="G38" s="130"/>
      <c r="H38" s="131"/>
      <c r="I38" s="131"/>
      <c r="J38" s="131"/>
      <c r="K38" s="131"/>
      <c r="L38" s="131"/>
      <c r="M38" s="131"/>
      <c r="N38" s="131"/>
      <c r="O38" s="131"/>
      <c r="P38" s="130"/>
      <c r="Q38" s="130"/>
      <c r="R38" s="130"/>
      <c r="S38" s="130"/>
      <c r="T38" s="130"/>
      <c r="U38" s="485"/>
    </row>
    <row r="39" spans="1:21" s="165" customFormat="1" ht="21">
      <c r="A39" s="129" t="s">
        <v>61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485"/>
    </row>
    <row r="40" spans="1:21" s="122" customFormat="1" ht="21">
      <c r="A40" s="164" t="s">
        <v>62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149"/>
      <c r="P40" s="149"/>
      <c r="Q40" s="149"/>
      <c r="R40" s="149"/>
      <c r="S40" s="149"/>
      <c r="T40" s="149"/>
      <c r="U40" s="148"/>
    </row>
    <row r="41" spans="1:21" s="122" customFormat="1" ht="21">
      <c r="A41" s="16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498"/>
      <c r="N41" s="214"/>
      <c r="O41" s="149"/>
      <c r="P41" s="149"/>
      <c r="Q41" s="149"/>
      <c r="R41" s="149"/>
      <c r="S41" s="149"/>
      <c r="T41" s="149"/>
      <c r="U41" s="148"/>
    </row>
    <row r="42" spans="1:21" s="165" customFormat="1" ht="21">
      <c r="A42" s="166" t="s">
        <v>63</v>
      </c>
      <c r="B42" s="430">
        <v>23400</v>
      </c>
      <c r="C42" s="430">
        <v>3205</v>
      </c>
      <c r="D42" s="430">
        <v>6904</v>
      </c>
      <c r="E42" s="430">
        <v>10109</v>
      </c>
      <c r="F42" s="499">
        <v>230</v>
      </c>
      <c r="G42" s="499">
        <v>297</v>
      </c>
      <c r="H42" s="500">
        <v>1700</v>
      </c>
      <c r="I42" s="500">
        <v>2479</v>
      </c>
      <c r="J42" s="500">
        <v>1004</v>
      </c>
      <c r="K42" s="500">
        <v>633</v>
      </c>
      <c r="L42" s="501">
        <v>520</v>
      </c>
      <c r="M42" s="502">
        <v>465</v>
      </c>
      <c r="N42" s="500">
        <v>6659</v>
      </c>
      <c r="O42" s="500">
        <v>10778</v>
      </c>
      <c r="P42" s="427">
        <v>74.51</v>
      </c>
      <c r="Q42" s="430">
        <v>241400</v>
      </c>
      <c r="R42" s="503">
        <v>185965.02</v>
      </c>
      <c r="S42" s="503"/>
      <c r="T42" s="504">
        <v>55434.98</v>
      </c>
      <c r="U42" s="427">
        <v>77.03</v>
      </c>
    </row>
    <row r="43" spans="1:21" s="165" customFormat="1" ht="21">
      <c r="A43" s="168" t="s">
        <v>627</v>
      </c>
      <c r="B43" s="430">
        <v>2000</v>
      </c>
      <c r="C43" s="427">
        <v>405</v>
      </c>
      <c r="D43" s="427">
        <v>805</v>
      </c>
      <c r="E43" s="430">
        <v>1210</v>
      </c>
      <c r="F43" s="505">
        <v>185</v>
      </c>
      <c r="G43" s="505">
        <v>202</v>
      </c>
      <c r="H43" s="505">
        <v>350</v>
      </c>
      <c r="I43" s="505">
        <v>422</v>
      </c>
      <c r="J43" s="505">
        <v>254</v>
      </c>
      <c r="K43" s="505">
        <v>56</v>
      </c>
      <c r="L43" s="505">
        <v>70</v>
      </c>
      <c r="M43" s="505">
        <v>145</v>
      </c>
      <c r="N43" s="501">
        <v>859</v>
      </c>
      <c r="O43" s="500">
        <v>725</v>
      </c>
      <c r="P43" s="427"/>
      <c r="Q43" s="485"/>
      <c r="R43" s="157"/>
      <c r="S43" s="506"/>
      <c r="T43" s="157"/>
      <c r="U43" s="485"/>
    </row>
    <row r="44" spans="1:21" s="165" customFormat="1" ht="21">
      <c r="A44" s="168" t="s">
        <v>628</v>
      </c>
      <c r="B44" s="430">
        <v>400</v>
      </c>
      <c r="C44" s="427">
        <v>115</v>
      </c>
      <c r="D44" s="427">
        <v>165</v>
      </c>
      <c r="E44" s="427">
        <v>280</v>
      </c>
      <c r="F44" s="505"/>
      <c r="G44" s="505"/>
      <c r="H44" s="505">
        <v>25</v>
      </c>
      <c r="I44" s="505">
        <v>32</v>
      </c>
      <c r="J44" s="505"/>
      <c r="K44" s="505"/>
      <c r="L44" s="505"/>
      <c r="M44" s="505"/>
      <c r="N44" s="501">
        <v>25</v>
      </c>
      <c r="O44" s="501">
        <v>32</v>
      </c>
      <c r="P44" s="427"/>
      <c r="Q44" s="485"/>
      <c r="R44" s="485"/>
      <c r="S44" s="485"/>
      <c r="T44" s="485"/>
      <c r="U44" s="485"/>
    </row>
    <row r="45" spans="1:21" s="165" customFormat="1" ht="21">
      <c r="A45" s="168" t="s">
        <v>630</v>
      </c>
      <c r="B45" s="430">
        <v>20900</v>
      </c>
      <c r="C45" s="430">
        <v>2685</v>
      </c>
      <c r="D45" s="430">
        <v>5934</v>
      </c>
      <c r="E45" s="430">
        <v>8619</v>
      </c>
      <c r="F45" s="505">
        <v>45</v>
      </c>
      <c r="G45" s="505">
        <v>95</v>
      </c>
      <c r="H45" s="500">
        <v>1325</v>
      </c>
      <c r="I45" s="500">
        <v>2025</v>
      </c>
      <c r="J45" s="505">
        <v>750</v>
      </c>
      <c r="K45" s="505">
        <v>577</v>
      </c>
      <c r="L45" s="505">
        <v>450</v>
      </c>
      <c r="M45" s="505">
        <v>320</v>
      </c>
      <c r="N45" s="500">
        <v>2570</v>
      </c>
      <c r="O45" s="500">
        <v>3017</v>
      </c>
      <c r="P45" s="427"/>
      <c r="Q45" s="485"/>
      <c r="R45" s="485"/>
      <c r="S45" s="485"/>
      <c r="T45" s="485"/>
      <c r="U45" s="485"/>
    </row>
    <row r="46" spans="1:21" s="165" customFormat="1" ht="21">
      <c r="A46" s="507" t="s">
        <v>705</v>
      </c>
      <c r="B46" s="430"/>
      <c r="C46" s="427"/>
      <c r="D46" s="427"/>
      <c r="E46" s="508"/>
      <c r="F46" s="505"/>
      <c r="G46" s="505"/>
      <c r="H46" s="505"/>
      <c r="I46" s="505"/>
      <c r="J46" s="505"/>
      <c r="K46" s="505"/>
      <c r="L46" s="505"/>
      <c r="M46" s="505"/>
      <c r="N46" s="501"/>
      <c r="O46" s="501"/>
      <c r="P46" s="427"/>
      <c r="Q46" s="157">
        <v>12000</v>
      </c>
      <c r="R46" s="509">
        <v>6000</v>
      </c>
      <c r="S46" s="485"/>
      <c r="T46" s="157">
        <v>6000</v>
      </c>
      <c r="U46" s="143">
        <v>50</v>
      </c>
    </row>
    <row r="47" spans="1:21" s="165" customFormat="1" ht="21">
      <c r="A47" s="507" t="s">
        <v>706</v>
      </c>
      <c r="B47" s="430"/>
      <c r="C47" s="427"/>
      <c r="D47" s="427"/>
      <c r="E47" s="508"/>
      <c r="F47" s="143"/>
      <c r="G47" s="143"/>
      <c r="H47" s="143"/>
      <c r="I47" s="143"/>
      <c r="J47" s="143"/>
      <c r="K47" s="143"/>
      <c r="L47" s="143"/>
      <c r="M47" s="143"/>
      <c r="N47" s="427"/>
      <c r="O47" s="427"/>
      <c r="P47" s="427"/>
      <c r="Q47" s="157">
        <v>5000</v>
      </c>
      <c r="R47" s="509">
        <v>2992</v>
      </c>
      <c r="S47" s="485"/>
      <c r="T47" s="157">
        <v>2992</v>
      </c>
      <c r="U47" s="143">
        <v>59.84</v>
      </c>
    </row>
    <row r="48" spans="1:21" s="165" customFormat="1" ht="21">
      <c r="A48" s="507" t="s">
        <v>707</v>
      </c>
      <c r="B48" s="430"/>
      <c r="C48" s="427"/>
      <c r="D48" s="427"/>
      <c r="E48" s="508"/>
      <c r="F48" s="143"/>
      <c r="G48" s="143"/>
      <c r="H48" s="143"/>
      <c r="I48" s="143"/>
      <c r="J48" s="143"/>
      <c r="K48" s="143"/>
      <c r="L48" s="143"/>
      <c r="M48" s="143"/>
      <c r="N48" s="427"/>
      <c r="O48" s="427"/>
      <c r="P48" s="427"/>
      <c r="Q48" s="157">
        <v>7000</v>
      </c>
      <c r="R48" s="157">
        <v>7000</v>
      </c>
      <c r="S48" s="485"/>
      <c r="T48" s="157">
        <v>7000</v>
      </c>
      <c r="U48" s="143">
        <v>100</v>
      </c>
    </row>
    <row r="49" spans="1:21" s="165" customFormat="1" ht="21">
      <c r="A49" s="507" t="s">
        <v>708</v>
      </c>
      <c r="B49" s="430"/>
      <c r="C49" s="427"/>
      <c r="D49" s="427"/>
      <c r="E49" s="508"/>
      <c r="F49" s="143"/>
      <c r="G49" s="143"/>
      <c r="H49" s="143"/>
      <c r="I49" s="143"/>
      <c r="J49" s="143"/>
      <c r="K49" s="143"/>
      <c r="L49" s="143"/>
      <c r="M49" s="143"/>
      <c r="N49" s="427"/>
      <c r="O49" s="427"/>
      <c r="P49" s="427"/>
      <c r="Q49" s="157">
        <v>11400</v>
      </c>
      <c r="R49" s="138">
        <v>4943.02</v>
      </c>
      <c r="S49" s="143"/>
      <c r="T49" s="143">
        <v>4943.02</v>
      </c>
      <c r="U49" s="143">
        <v>43.36</v>
      </c>
    </row>
    <row r="50" spans="1:21" s="165" customFormat="1" ht="21">
      <c r="A50" s="507" t="s">
        <v>709</v>
      </c>
      <c r="B50" s="430"/>
      <c r="C50" s="427"/>
      <c r="D50" s="427"/>
      <c r="E50" s="508"/>
      <c r="F50" s="143"/>
      <c r="G50" s="143"/>
      <c r="H50" s="143"/>
      <c r="I50" s="143"/>
      <c r="J50" s="143"/>
      <c r="K50" s="143"/>
      <c r="L50" s="143"/>
      <c r="M50" s="143"/>
      <c r="N50" s="427"/>
      <c r="O50" s="427"/>
      <c r="P50" s="427"/>
      <c r="Q50" s="157">
        <v>12000</v>
      </c>
      <c r="R50" s="157">
        <v>7030</v>
      </c>
      <c r="S50" s="485"/>
      <c r="T50" s="157">
        <v>7030</v>
      </c>
      <c r="U50" s="143">
        <v>58.58</v>
      </c>
    </row>
    <row r="51" spans="1:21" s="165" customFormat="1" ht="21">
      <c r="A51" s="507" t="s">
        <v>710</v>
      </c>
      <c r="B51" s="430"/>
      <c r="C51" s="427"/>
      <c r="D51" s="427"/>
      <c r="E51" s="508"/>
      <c r="F51" s="143"/>
      <c r="G51" s="143"/>
      <c r="H51" s="143"/>
      <c r="I51" s="143"/>
      <c r="J51" s="143"/>
      <c r="K51" s="143"/>
      <c r="L51" s="143"/>
      <c r="M51" s="143"/>
      <c r="N51" s="427"/>
      <c r="O51" s="427"/>
      <c r="P51" s="427"/>
      <c r="Q51" s="157">
        <v>108000</v>
      </c>
      <c r="R51" s="157">
        <v>72000</v>
      </c>
      <c r="S51" s="485"/>
      <c r="T51" s="157">
        <v>72000</v>
      </c>
      <c r="U51" s="143">
        <v>66.67</v>
      </c>
    </row>
    <row r="52" spans="1:21" s="165" customFormat="1" ht="21">
      <c r="A52" s="507" t="s">
        <v>711</v>
      </c>
      <c r="B52" s="430"/>
      <c r="C52" s="427"/>
      <c r="D52" s="427"/>
      <c r="E52" s="508"/>
      <c r="F52" s="143"/>
      <c r="G52" s="143"/>
      <c r="H52" s="143"/>
      <c r="I52" s="143"/>
      <c r="J52" s="143"/>
      <c r="K52" s="143"/>
      <c r="L52" s="143"/>
      <c r="M52" s="143"/>
      <c r="N52" s="427"/>
      <c r="O52" s="427"/>
      <c r="P52" s="427"/>
      <c r="Q52" s="157">
        <v>4000</v>
      </c>
      <c r="R52" s="157">
        <v>4000</v>
      </c>
      <c r="S52" s="485"/>
      <c r="T52" s="157">
        <v>4000</v>
      </c>
      <c r="U52" s="143">
        <v>100</v>
      </c>
    </row>
    <row r="53" spans="1:21" s="165" customFormat="1" ht="21">
      <c r="A53" s="507" t="s">
        <v>712</v>
      </c>
      <c r="B53" s="430"/>
      <c r="C53" s="427"/>
      <c r="D53" s="427"/>
      <c r="E53" s="508"/>
      <c r="F53" s="143"/>
      <c r="G53" s="143"/>
      <c r="H53" s="143"/>
      <c r="I53" s="143"/>
      <c r="J53" s="143"/>
      <c r="K53" s="143"/>
      <c r="L53" s="143"/>
      <c r="M53" s="143"/>
      <c r="N53" s="427"/>
      <c r="O53" s="427"/>
      <c r="P53" s="427"/>
      <c r="Q53" s="157">
        <v>52000</v>
      </c>
      <c r="R53" s="157">
        <v>52000</v>
      </c>
      <c r="S53" s="485"/>
      <c r="T53" s="157">
        <v>52000</v>
      </c>
      <c r="U53" s="143">
        <v>100</v>
      </c>
    </row>
    <row r="54" spans="1:21" s="165" customFormat="1" ht="21">
      <c r="A54" s="507" t="s">
        <v>713</v>
      </c>
      <c r="B54" s="430"/>
      <c r="C54" s="427"/>
      <c r="D54" s="427"/>
      <c r="E54" s="508"/>
      <c r="F54" s="143"/>
      <c r="G54" s="143"/>
      <c r="H54" s="143"/>
      <c r="I54" s="143"/>
      <c r="J54" s="143"/>
      <c r="K54" s="143"/>
      <c r="L54" s="143"/>
      <c r="M54" s="143"/>
      <c r="N54" s="427"/>
      <c r="O54" s="427"/>
      <c r="P54" s="427"/>
      <c r="Q54" s="157">
        <v>30000</v>
      </c>
      <c r="R54" s="157">
        <v>30000</v>
      </c>
      <c r="S54" s="485"/>
      <c r="T54" s="157">
        <v>30000</v>
      </c>
      <c r="U54" s="143">
        <v>100</v>
      </c>
    </row>
    <row r="55" spans="1:21" s="165" customFormat="1" ht="21">
      <c r="A55" s="507"/>
      <c r="B55" s="430"/>
      <c r="C55" s="427"/>
      <c r="D55" s="427"/>
      <c r="E55" s="508"/>
      <c r="F55" s="143"/>
      <c r="G55" s="143"/>
      <c r="H55" s="143"/>
      <c r="I55" s="143"/>
      <c r="J55" s="143"/>
      <c r="K55" s="143"/>
      <c r="L55" s="143"/>
      <c r="M55" s="143"/>
      <c r="N55" s="427"/>
      <c r="O55" s="427"/>
      <c r="P55" s="427"/>
      <c r="Q55" s="157"/>
      <c r="R55" s="157"/>
      <c r="S55" s="485"/>
      <c r="T55" s="157"/>
      <c r="U55" s="143"/>
    </row>
    <row r="56" spans="1:21" s="165" customFormat="1" ht="21">
      <c r="A56" s="507"/>
      <c r="B56" s="430"/>
      <c r="C56" s="427"/>
      <c r="D56" s="427"/>
      <c r="E56" s="508"/>
      <c r="F56" s="143"/>
      <c r="G56" s="143"/>
      <c r="H56" s="143"/>
      <c r="I56" s="143"/>
      <c r="J56" s="143"/>
      <c r="K56" s="143"/>
      <c r="L56" s="143"/>
      <c r="M56" s="143"/>
      <c r="N56" s="427"/>
      <c r="O56" s="427"/>
      <c r="P56" s="427"/>
      <c r="Q56" s="157"/>
      <c r="R56" s="157"/>
      <c r="S56" s="485"/>
      <c r="T56" s="157"/>
      <c r="U56" s="143"/>
    </row>
    <row r="57" spans="1:21" s="165" customFormat="1" ht="21">
      <c r="A57" s="507"/>
      <c r="B57" s="430"/>
      <c r="C57" s="427"/>
      <c r="D57" s="427"/>
      <c r="E57" s="508"/>
      <c r="F57" s="143"/>
      <c r="G57" s="143"/>
      <c r="H57" s="143"/>
      <c r="I57" s="143"/>
      <c r="J57" s="143"/>
      <c r="K57" s="143"/>
      <c r="L57" s="143"/>
      <c r="M57" s="143"/>
      <c r="N57" s="427"/>
      <c r="O57" s="427"/>
      <c r="P57" s="427"/>
      <c r="Q57" s="157"/>
      <c r="R57" s="157"/>
      <c r="S57" s="485"/>
      <c r="T57" s="157"/>
      <c r="U57" s="143"/>
    </row>
    <row r="58" spans="1:21" s="165" customFormat="1" ht="21">
      <c r="A58" s="507"/>
      <c r="B58" s="430"/>
      <c r="C58" s="427"/>
      <c r="D58" s="427"/>
      <c r="E58" s="508"/>
      <c r="F58" s="143"/>
      <c r="G58" s="143"/>
      <c r="H58" s="143"/>
      <c r="I58" s="143"/>
      <c r="J58" s="143"/>
      <c r="K58" s="143"/>
      <c r="L58" s="143"/>
      <c r="M58" s="143"/>
      <c r="N58" s="427"/>
      <c r="O58" s="427"/>
      <c r="P58" s="427"/>
      <c r="Q58" s="157"/>
      <c r="R58" s="157"/>
      <c r="S58" s="485"/>
      <c r="T58" s="157"/>
      <c r="U58" s="143"/>
    </row>
    <row r="59" spans="1:21" s="122" customFormat="1" ht="21">
      <c r="A59" s="510" t="s">
        <v>638</v>
      </c>
      <c r="B59" s="427">
        <v>2100</v>
      </c>
      <c r="C59" s="427">
        <v>740</v>
      </c>
      <c r="D59" s="427">
        <v>815</v>
      </c>
      <c r="E59" s="430">
        <v>1555</v>
      </c>
      <c r="F59" s="143"/>
      <c r="G59" s="143"/>
      <c r="H59" s="430">
        <v>1525</v>
      </c>
      <c r="I59" s="430">
        <v>1645</v>
      </c>
      <c r="J59" s="143"/>
      <c r="K59" s="143"/>
      <c r="L59" s="143"/>
      <c r="M59" s="143"/>
      <c r="N59" s="430">
        <v>2785</v>
      </c>
      <c r="O59" s="430">
        <v>2805</v>
      </c>
      <c r="P59" s="426">
        <v>266</v>
      </c>
      <c r="Q59" s="430">
        <v>44000</v>
      </c>
      <c r="R59" s="431">
        <v>39720</v>
      </c>
      <c r="S59" s="511" t="s">
        <v>629</v>
      </c>
      <c r="T59" s="430">
        <v>39720</v>
      </c>
      <c r="U59" s="512">
        <v>89.46</v>
      </c>
    </row>
    <row r="60" spans="1:21" s="122" customFormat="1" ht="21">
      <c r="A60" s="513" t="s">
        <v>714</v>
      </c>
      <c r="B60" s="427"/>
      <c r="C60" s="427"/>
      <c r="D60" s="427"/>
      <c r="E60" s="427"/>
      <c r="F60" s="143"/>
      <c r="G60" s="143"/>
      <c r="H60" s="143">
        <v>75</v>
      </c>
      <c r="I60" s="143">
        <v>55</v>
      </c>
      <c r="J60" s="143">
        <v>215</v>
      </c>
      <c r="K60" s="143">
        <v>255</v>
      </c>
      <c r="L60" s="143">
        <v>30</v>
      </c>
      <c r="M60" s="143">
        <v>35</v>
      </c>
      <c r="N60" s="427">
        <v>320</v>
      </c>
      <c r="O60" s="427">
        <v>345</v>
      </c>
      <c r="P60" s="426"/>
      <c r="Q60" s="157">
        <v>39720</v>
      </c>
      <c r="R60" s="514">
        <v>39720</v>
      </c>
      <c r="S60" s="509" t="s">
        <v>629</v>
      </c>
      <c r="T60" s="157">
        <v>39720</v>
      </c>
      <c r="U60" s="515">
        <v>89.46</v>
      </c>
    </row>
    <row r="61" spans="1:21" s="122" customFormat="1" ht="21">
      <c r="A61" s="513" t="s">
        <v>715</v>
      </c>
      <c r="B61" s="427"/>
      <c r="C61" s="427"/>
      <c r="D61" s="427"/>
      <c r="E61" s="427"/>
      <c r="F61" s="143"/>
      <c r="G61" s="143"/>
      <c r="H61" s="143"/>
      <c r="I61" s="143"/>
      <c r="J61" s="143"/>
      <c r="K61" s="143"/>
      <c r="L61" s="143"/>
      <c r="M61" s="143"/>
      <c r="N61" s="427"/>
      <c r="O61" s="427"/>
      <c r="P61" s="426"/>
      <c r="Q61" s="157">
        <v>15000</v>
      </c>
      <c r="R61" s="514">
        <v>15000</v>
      </c>
      <c r="S61" s="506" t="s">
        <v>629</v>
      </c>
      <c r="T61" s="506" t="s">
        <v>716</v>
      </c>
      <c r="U61" s="515">
        <v>100</v>
      </c>
    </row>
    <row r="62" spans="1:21" s="122" customFormat="1" ht="21">
      <c r="A62" s="516" t="s">
        <v>75</v>
      </c>
      <c r="B62" s="517">
        <v>7000</v>
      </c>
      <c r="C62" s="518">
        <v>2410</v>
      </c>
      <c r="D62" s="518">
        <v>4140</v>
      </c>
      <c r="E62" s="518">
        <v>6550</v>
      </c>
      <c r="F62" s="519"/>
      <c r="G62" s="519"/>
      <c r="H62" s="520"/>
      <c r="I62" s="520"/>
      <c r="J62" s="520"/>
      <c r="K62" s="520"/>
      <c r="L62" s="519"/>
      <c r="M62" s="519"/>
      <c r="N62" s="517">
        <v>5049</v>
      </c>
      <c r="O62" s="517">
        <v>6985</v>
      </c>
      <c r="P62" s="426">
        <v>171</v>
      </c>
      <c r="Q62" s="517">
        <v>274320</v>
      </c>
      <c r="R62" s="517">
        <v>183060</v>
      </c>
      <c r="S62" s="426"/>
      <c r="T62" s="517">
        <v>183060</v>
      </c>
      <c r="U62" s="432">
        <v>66.73</v>
      </c>
    </row>
    <row r="63" spans="1:21" s="122" customFormat="1" ht="21">
      <c r="A63" s="521" t="s">
        <v>717</v>
      </c>
      <c r="B63" s="148"/>
      <c r="C63" s="426"/>
      <c r="D63" s="426"/>
      <c r="E63" s="426"/>
      <c r="F63" s="522">
        <v>255</v>
      </c>
      <c r="G63" s="522">
        <v>250</v>
      </c>
      <c r="H63" s="147">
        <v>905</v>
      </c>
      <c r="I63" s="222">
        <v>1295</v>
      </c>
      <c r="J63" s="222">
        <v>1155</v>
      </c>
      <c r="K63" s="147">
        <v>944</v>
      </c>
      <c r="L63" s="147">
        <v>324</v>
      </c>
      <c r="M63" s="147">
        <v>356</v>
      </c>
      <c r="N63" s="517">
        <v>2639</v>
      </c>
      <c r="O63" s="517">
        <v>2845</v>
      </c>
      <c r="P63" s="148"/>
      <c r="Q63" s="222"/>
      <c r="R63" s="222"/>
      <c r="S63" s="522"/>
      <c r="T63" s="222"/>
      <c r="U63" s="148"/>
    </row>
    <row r="64" spans="1:21" s="122" customFormat="1" ht="21" thickBot="1">
      <c r="A64" s="523"/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5"/>
      <c r="P64" s="525"/>
      <c r="Q64" s="525"/>
      <c r="R64" s="525"/>
      <c r="S64" s="525"/>
      <c r="T64" s="525"/>
      <c r="U64" s="526"/>
    </row>
    <row r="65" spans="1:21" s="165" customFormat="1" ht="21">
      <c r="A65" s="527" t="s">
        <v>77</v>
      </c>
      <c r="B65" s="528"/>
      <c r="C65" s="528"/>
      <c r="D65" s="528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528"/>
      <c r="S65" s="528"/>
      <c r="T65" s="528"/>
      <c r="U65" s="529"/>
    </row>
    <row r="66" spans="1:21" s="165" customFormat="1" ht="21">
      <c r="A66" s="510" t="s">
        <v>718</v>
      </c>
      <c r="B66" s="143">
        <v>292</v>
      </c>
      <c r="C66" s="427">
        <v>176</v>
      </c>
      <c r="D66" s="427">
        <v>116</v>
      </c>
      <c r="E66" s="427">
        <v>292</v>
      </c>
      <c r="F66" s="143"/>
      <c r="G66" s="143"/>
      <c r="H66" s="143">
        <v>176</v>
      </c>
      <c r="I66" s="143">
        <v>116</v>
      </c>
      <c r="J66" s="143"/>
      <c r="K66" s="143"/>
      <c r="L66" s="143"/>
      <c r="M66" s="143"/>
      <c r="N66" s="427">
        <v>176</v>
      </c>
      <c r="O66" s="427">
        <v>116</v>
      </c>
      <c r="P66" s="427">
        <v>100</v>
      </c>
      <c r="Q66" s="130"/>
      <c r="R66" s="130"/>
      <c r="S66" s="130"/>
      <c r="T66" s="130"/>
      <c r="U66" s="485"/>
    </row>
    <row r="67" spans="1:21" s="165" customFormat="1" ht="21">
      <c r="A67" s="168" t="s">
        <v>719</v>
      </c>
      <c r="B67" s="485"/>
      <c r="C67" s="485"/>
      <c r="D67" s="485"/>
      <c r="E67" s="485"/>
      <c r="F67" s="485"/>
      <c r="G67" s="485"/>
      <c r="H67" s="148"/>
      <c r="I67" s="148"/>
      <c r="J67" s="148"/>
      <c r="K67" s="148"/>
      <c r="L67" s="148"/>
      <c r="M67" s="148"/>
      <c r="N67" s="426"/>
      <c r="O67" s="426"/>
      <c r="P67" s="427"/>
      <c r="Q67" s="530">
        <v>108540</v>
      </c>
      <c r="R67" s="157">
        <v>108008</v>
      </c>
      <c r="S67" s="506" t="s">
        <v>629</v>
      </c>
      <c r="T67" s="515">
        <v>532</v>
      </c>
      <c r="U67" s="515">
        <v>99.51</v>
      </c>
    </row>
    <row r="68" spans="1:21" s="122" customFormat="1" ht="21">
      <c r="A68" s="168" t="s">
        <v>720</v>
      </c>
      <c r="B68" s="427">
        <v>506</v>
      </c>
      <c r="C68" s="426">
        <v>160</v>
      </c>
      <c r="D68" s="531">
        <v>121</v>
      </c>
      <c r="E68" s="427">
        <v>281</v>
      </c>
      <c r="F68" s="148"/>
      <c r="G68" s="148"/>
      <c r="H68" s="147"/>
      <c r="I68" s="147"/>
      <c r="J68" s="147"/>
      <c r="K68" s="147"/>
      <c r="L68" s="147"/>
      <c r="M68" s="147"/>
      <c r="N68" s="426">
        <v>218</v>
      </c>
      <c r="O68" s="531">
        <v>193</v>
      </c>
      <c r="P68" s="427">
        <v>81.22</v>
      </c>
      <c r="Q68" s="431">
        <v>269800</v>
      </c>
      <c r="R68" s="514">
        <v>149080</v>
      </c>
      <c r="S68" s="532"/>
      <c r="T68" s="533">
        <v>149080</v>
      </c>
      <c r="U68" s="515">
        <v>55.24</v>
      </c>
    </row>
    <row r="69" spans="1:21" s="122" customFormat="1" ht="21">
      <c r="A69" s="534" t="s">
        <v>721</v>
      </c>
      <c r="B69" s="147">
        <v>120</v>
      </c>
      <c r="C69" s="147"/>
      <c r="D69" s="147"/>
      <c r="E69" s="147"/>
      <c r="F69" s="147"/>
      <c r="G69" s="147"/>
      <c r="H69" s="147">
        <v>58</v>
      </c>
      <c r="I69" s="147">
        <v>72</v>
      </c>
      <c r="J69" s="147"/>
      <c r="K69" s="147"/>
      <c r="L69" s="147"/>
      <c r="M69" s="147"/>
      <c r="N69" s="147">
        <v>58</v>
      </c>
      <c r="O69" s="147">
        <v>72</v>
      </c>
      <c r="P69" s="147"/>
      <c r="Q69" s="535">
        <v>15350</v>
      </c>
      <c r="R69" s="535"/>
      <c r="S69" s="532">
        <v>15350</v>
      </c>
      <c r="T69" s="535">
        <v>15350</v>
      </c>
      <c r="U69" s="536"/>
    </row>
    <row r="70" spans="1:21" s="122" customFormat="1" ht="21">
      <c r="A70" s="53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222"/>
      <c r="R70" s="222"/>
      <c r="S70" s="522"/>
      <c r="T70" s="222"/>
      <c r="U70" s="147"/>
    </row>
    <row r="71" spans="1:21" s="122" customFormat="1" ht="21">
      <c r="A71" s="53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222"/>
      <c r="R71" s="222"/>
      <c r="S71" s="522"/>
      <c r="T71" s="535"/>
      <c r="U71" s="536"/>
    </row>
    <row r="72" spans="1:21" s="122" customFormat="1" ht="21" customHeight="1">
      <c r="A72" s="537"/>
      <c r="B72" s="147"/>
      <c r="C72" s="522"/>
      <c r="D72" s="522"/>
      <c r="E72" s="147"/>
      <c r="F72" s="522"/>
      <c r="G72" s="522"/>
      <c r="H72" s="147"/>
      <c r="I72" s="147"/>
      <c r="J72" s="522"/>
      <c r="K72" s="522"/>
      <c r="L72" s="522"/>
      <c r="M72" s="522"/>
      <c r="N72" s="147"/>
      <c r="O72" s="147"/>
      <c r="P72" s="147"/>
      <c r="Q72" s="535"/>
      <c r="R72" s="535"/>
      <c r="S72" s="532"/>
      <c r="T72" s="532"/>
      <c r="U72" s="536"/>
    </row>
    <row r="73" spans="1:21" s="122" customFormat="1" ht="21">
      <c r="A73" s="534"/>
      <c r="B73" s="147"/>
      <c r="C73" s="522"/>
      <c r="D73" s="522"/>
      <c r="E73" s="147"/>
      <c r="F73" s="522"/>
      <c r="G73" s="522"/>
      <c r="H73" s="522"/>
      <c r="I73" s="147"/>
      <c r="J73" s="522"/>
      <c r="K73" s="147"/>
      <c r="L73" s="147"/>
      <c r="M73" s="147"/>
      <c r="N73" s="522"/>
      <c r="O73" s="147"/>
      <c r="P73" s="147"/>
      <c r="Q73" s="222"/>
      <c r="R73" s="222"/>
      <c r="S73" s="532"/>
      <c r="T73" s="532"/>
      <c r="U73" s="147"/>
    </row>
    <row r="74" spans="1:21" s="165" customFormat="1" ht="21">
      <c r="A74" s="168" t="s">
        <v>722</v>
      </c>
      <c r="B74" s="427">
        <v>499</v>
      </c>
      <c r="C74" s="427">
        <v>292</v>
      </c>
      <c r="D74" s="427">
        <v>207</v>
      </c>
      <c r="E74" s="427">
        <v>499</v>
      </c>
      <c r="F74" s="427"/>
      <c r="G74" s="427"/>
      <c r="H74" s="427">
        <v>292</v>
      </c>
      <c r="I74" s="427">
        <v>207</v>
      </c>
      <c r="J74" s="427"/>
      <c r="K74" s="427"/>
      <c r="L74" s="427"/>
      <c r="M74" s="427"/>
      <c r="N74" s="427">
        <v>292</v>
      </c>
      <c r="O74" s="427">
        <v>207</v>
      </c>
      <c r="P74" s="427">
        <v>100</v>
      </c>
      <c r="Q74" s="431">
        <v>399747</v>
      </c>
      <c r="R74" s="538">
        <v>227470.22</v>
      </c>
      <c r="S74" s="539">
        <v>118513.53</v>
      </c>
      <c r="T74" s="540">
        <v>345983.75</v>
      </c>
      <c r="U74" s="432">
        <v>86.55</v>
      </c>
    </row>
    <row r="75" spans="1:21" s="165" customFormat="1" ht="21">
      <c r="A75" s="130" t="s">
        <v>86</v>
      </c>
      <c r="B75" s="143">
        <v>57</v>
      </c>
      <c r="C75" s="143">
        <v>23</v>
      </c>
      <c r="D75" s="143">
        <v>34</v>
      </c>
      <c r="E75" s="143">
        <v>57</v>
      </c>
      <c r="F75" s="143"/>
      <c r="G75" s="143"/>
      <c r="H75" s="143">
        <v>23</v>
      </c>
      <c r="I75" s="143">
        <v>34</v>
      </c>
      <c r="J75" s="143"/>
      <c r="K75" s="143"/>
      <c r="L75" s="143"/>
      <c r="M75" s="143"/>
      <c r="N75" s="143">
        <v>23</v>
      </c>
      <c r="O75" s="143">
        <v>34</v>
      </c>
      <c r="P75" s="143">
        <v>100</v>
      </c>
      <c r="Q75" s="143"/>
      <c r="R75" s="138"/>
      <c r="S75" s="143"/>
      <c r="T75" s="143"/>
      <c r="U75" s="143"/>
    </row>
    <row r="76" spans="1:21" s="165" customFormat="1" ht="21">
      <c r="A76" s="130" t="s">
        <v>87</v>
      </c>
      <c r="B76" s="143">
        <v>212</v>
      </c>
      <c r="C76" s="143">
        <v>139</v>
      </c>
      <c r="D76" s="143">
        <v>73</v>
      </c>
      <c r="E76" s="143">
        <v>212</v>
      </c>
      <c r="F76" s="541"/>
      <c r="G76" s="541"/>
      <c r="H76" s="541">
        <v>139</v>
      </c>
      <c r="I76" s="541">
        <v>73</v>
      </c>
      <c r="J76" s="541"/>
      <c r="K76" s="541"/>
      <c r="L76" s="541"/>
      <c r="M76" s="143"/>
      <c r="N76" s="143">
        <v>139</v>
      </c>
      <c r="O76" s="143">
        <v>73</v>
      </c>
      <c r="P76" s="143">
        <v>100</v>
      </c>
      <c r="Q76" s="143"/>
      <c r="R76" s="542"/>
      <c r="S76" s="143"/>
      <c r="T76" s="143"/>
      <c r="U76" s="143"/>
    </row>
    <row r="77" spans="1:21" s="165" customFormat="1" ht="21">
      <c r="A77" s="130" t="s">
        <v>88</v>
      </c>
      <c r="B77" s="143">
        <v>230</v>
      </c>
      <c r="C77" s="143">
        <v>130</v>
      </c>
      <c r="D77" s="143">
        <v>100</v>
      </c>
      <c r="E77" s="543">
        <v>230</v>
      </c>
      <c r="F77" s="143"/>
      <c r="G77" s="143"/>
      <c r="H77" s="143">
        <v>130</v>
      </c>
      <c r="I77" s="143">
        <v>100</v>
      </c>
      <c r="J77" s="143"/>
      <c r="K77" s="143"/>
      <c r="L77" s="143"/>
      <c r="M77" s="544"/>
      <c r="N77" s="143">
        <v>130</v>
      </c>
      <c r="O77" s="143">
        <v>100</v>
      </c>
      <c r="P77" s="143">
        <v>100</v>
      </c>
      <c r="Q77" s="143"/>
      <c r="R77" s="143"/>
      <c r="S77" s="143"/>
      <c r="T77" s="143"/>
      <c r="U77" s="143"/>
    </row>
    <row r="78" spans="1:21" s="165" customFormat="1" ht="21">
      <c r="A78" s="168" t="s">
        <v>354</v>
      </c>
      <c r="B78" s="545">
        <v>55</v>
      </c>
      <c r="C78" s="427">
        <v>28</v>
      </c>
      <c r="D78" s="427">
        <v>27</v>
      </c>
      <c r="E78" s="546">
        <v>55</v>
      </c>
      <c r="F78" s="547"/>
      <c r="G78" s="547"/>
      <c r="H78" s="547">
        <v>28</v>
      </c>
      <c r="I78" s="427">
        <v>27</v>
      </c>
      <c r="J78" s="547"/>
      <c r="K78" s="427"/>
      <c r="L78" s="547"/>
      <c r="M78" s="547"/>
      <c r="N78" s="427">
        <v>28</v>
      </c>
      <c r="O78" s="427">
        <v>27</v>
      </c>
      <c r="P78" s="427">
        <v>100</v>
      </c>
      <c r="Q78" s="143"/>
      <c r="R78" s="143"/>
      <c r="S78" s="143"/>
      <c r="T78" s="143"/>
      <c r="U78" s="143"/>
    </row>
    <row r="79" spans="1:21" s="165" customFormat="1" ht="21">
      <c r="A79" s="130" t="s">
        <v>86</v>
      </c>
      <c r="B79" s="131">
        <v>1</v>
      </c>
      <c r="C79" s="506" t="s">
        <v>629</v>
      </c>
      <c r="D79" s="143">
        <v>1</v>
      </c>
      <c r="E79" s="543">
        <v>1</v>
      </c>
      <c r="F79" s="548"/>
      <c r="G79" s="548"/>
      <c r="H79" s="548"/>
      <c r="I79" s="548"/>
      <c r="J79" s="548"/>
      <c r="K79" s="548"/>
      <c r="L79" s="548"/>
      <c r="M79" s="548"/>
      <c r="N79" s="506" t="s">
        <v>629</v>
      </c>
      <c r="O79" s="143">
        <v>1</v>
      </c>
      <c r="P79" s="131">
        <v>100</v>
      </c>
      <c r="Q79" s="143"/>
      <c r="R79" s="143"/>
      <c r="S79" s="143"/>
      <c r="T79" s="143"/>
      <c r="U79" s="143"/>
    </row>
    <row r="80" spans="1:21" s="165" customFormat="1" ht="21">
      <c r="A80" s="130" t="s">
        <v>87</v>
      </c>
      <c r="B80" s="131">
        <v>17</v>
      </c>
      <c r="C80" s="548">
        <v>8</v>
      </c>
      <c r="D80" s="143">
        <v>9</v>
      </c>
      <c r="E80" s="543">
        <v>17</v>
      </c>
      <c r="F80" s="548"/>
      <c r="G80" s="548"/>
      <c r="H80" s="548"/>
      <c r="I80" s="143"/>
      <c r="J80" s="548"/>
      <c r="K80" s="143"/>
      <c r="L80" s="548"/>
      <c r="M80" s="548"/>
      <c r="N80" s="548">
        <v>8</v>
      </c>
      <c r="O80" s="143">
        <v>9</v>
      </c>
      <c r="P80" s="131">
        <v>100</v>
      </c>
      <c r="Q80" s="143"/>
      <c r="R80" s="143"/>
      <c r="S80" s="143"/>
      <c r="T80" s="143"/>
      <c r="U80" s="143"/>
    </row>
    <row r="81" spans="1:21" s="122" customFormat="1" ht="21" thickBot="1">
      <c r="A81" s="549" t="s">
        <v>88</v>
      </c>
      <c r="B81" s="550">
        <v>37</v>
      </c>
      <c r="C81" s="551">
        <v>20</v>
      </c>
      <c r="D81" s="551">
        <v>17</v>
      </c>
      <c r="E81" s="551">
        <v>37</v>
      </c>
      <c r="F81" s="552"/>
      <c r="G81" s="552"/>
      <c r="H81" s="552"/>
      <c r="I81" s="551"/>
      <c r="J81" s="552"/>
      <c r="K81" s="551"/>
      <c r="L81" s="552"/>
      <c r="M81" s="552"/>
      <c r="N81" s="551">
        <v>20</v>
      </c>
      <c r="O81" s="551">
        <v>17</v>
      </c>
      <c r="P81" s="550">
        <v>100</v>
      </c>
      <c r="Q81" s="550"/>
      <c r="R81" s="550"/>
      <c r="S81" s="550"/>
      <c r="T81" s="550"/>
      <c r="U81" s="550"/>
    </row>
    <row r="82" s="122" customFormat="1" ht="21"/>
    <row r="83" s="122" customFormat="1" ht="21"/>
    <row r="84" s="122" customFormat="1" ht="21"/>
    <row r="85" s="122" customFormat="1" ht="21"/>
    <row r="86" s="122" customFormat="1" ht="21"/>
    <row r="87" s="122" customFormat="1" ht="21"/>
    <row r="88" s="122" customFormat="1" ht="21"/>
    <row r="89" s="122" customFormat="1" ht="21"/>
    <row r="90" s="122" customFormat="1" ht="21"/>
    <row r="91" s="122" customFormat="1" ht="21"/>
    <row r="92" s="122" customFormat="1" ht="21"/>
    <row r="93" s="122" customFormat="1" ht="21"/>
    <row r="94" s="122" customFormat="1" ht="21"/>
    <row r="95" s="122" customFormat="1" ht="21"/>
    <row r="96" s="122" customFormat="1" ht="21"/>
    <row r="97" s="122" customFormat="1" ht="21"/>
    <row r="98" s="122" customFormat="1" ht="21"/>
    <row r="99" s="122" customFormat="1" ht="21"/>
    <row r="100" s="122" customFormat="1" ht="21"/>
    <row r="101" s="122" customFormat="1" ht="21"/>
    <row r="102" s="122" customFormat="1" ht="21"/>
    <row r="103" s="122" customFormat="1" ht="21"/>
    <row r="104" s="122" customFormat="1" ht="21"/>
    <row r="105" s="122" customFormat="1" ht="21"/>
    <row r="106" s="122" customFormat="1" ht="21"/>
    <row r="107" s="122" customFormat="1" ht="21"/>
    <row r="108" s="122" customFormat="1" ht="21"/>
    <row r="109" s="122" customFormat="1" ht="21"/>
    <row r="110" s="122" customFormat="1" ht="21"/>
    <row r="111" s="122" customFormat="1" ht="21"/>
    <row r="112" s="122" customFormat="1" ht="21"/>
    <row r="113" s="122" customFormat="1" ht="21"/>
    <row r="114" s="122" customFormat="1" ht="21"/>
    <row r="115" s="122" customFormat="1" ht="21"/>
    <row r="116" s="122" customFormat="1" ht="21"/>
    <row r="117" s="122" customFormat="1" ht="21"/>
    <row r="118" s="122" customFormat="1" ht="21"/>
    <row r="119" s="122" customFormat="1" ht="21"/>
    <row r="120" s="122" customFormat="1" ht="21"/>
    <row r="121" s="122" customFormat="1" ht="21"/>
    <row r="122" s="122" customFormat="1" ht="21"/>
    <row r="123" s="122" customFormat="1" ht="21"/>
    <row r="124" s="122" customFormat="1" ht="21"/>
    <row r="125" s="122" customFormat="1" ht="21"/>
    <row r="126" s="122" customFormat="1" ht="21"/>
    <row r="127" s="122" customFormat="1" ht="21"/>
    <row r="128" s="122" customFormat="1" ht="21"/>
    <row r="129" s="122" customFormat="1" ht="21"/>
    <row r="130" s="122" customFormat="1" ht="21"/>
    <row r="131" s="122" customFormat="1" ht="21"/>
    <row r="132" s="122" customFormat="1" ht="21"/>
    <row r="133" s="122" customFormat="1" ht="21"/>
    <row r="134" s="122" customFormat="1" ht="21"/>
    <row r="135" s="122" customFormat="1" ht="21"/>
    <row r="136" s="122" customFormat="1" ht="21"/>
    <row r="137" s="122" customFormat="1" ht="21"/>
    <row r="138" s="122" customFormat="1" ht="21"/>
    <row r="139" s="122" customFormat="1" ht="21"/>
    <row r="140" s="122" customFormat="1" ht="21"/>
    <row r="141" s="122" customFormat="1" ht="21"/>
    <row r="142" s="122" customFormat="1" ht="21"/>
    <row r="143" s="122" customFormat="1" ht="21"/>
    <row r="144" s="122" customFormat="1" ht="21"/>
    <row r="145" s="122" customFormat="1" ht="21"/>
    <row r="146" s="122" customFormat="1" ht="21"/>
    <row r="147" s="122" customFormat="1" ht="21"/>
    <row r="148" s="122" customFormat="1" ht="21"/>
    <row r="149" s="122" customFormat="1" ht="21"/>
    <row r="150" s="122" customFormat="1" ht="21"/>
    <row r="151" s="122" customFormat="1" ht="21"/>
    <row r="152" s="122" customFormat="1" ht="21"/>
    <row r="153" s="122" customFormat="1" ht="21"/>
    <row r="154" s="122" customFormat="1" ht="21"/>
    <row r="155" s="122" customFormat="1" ht="21"/>
    <row r="156" s="122" customFormat="1" ht="21"/>
    <row r="157" s="122" customFormat="1" ht="21"/>
    <row r="158" s="122" customFormat="1" ht="21"/>
    <row r="159" s="122" customFormat="1" ht="21"/>
    <row r="160" s="122" customFormat="1" ht="21"/>
    <row r="161" s="122" customFormat="1" ht="21"/>
    <row r="162" s="122" customFormat="1" ht="21"/>
    <row r="163" s="122" customFormat="1" ht="21"/>
    <row r="164" s="122" customFormat="1" ht="21"/>
    <row r="165" s="122" customFormat="1" ht="21"/>
    <row r="166" s="122" customFormat="1" ht="21"/>
    <row r="167" s="122" customFormat="1" ht="21"/>
    <row r="168" s="122" customFormat="1" ht="21"/>
    <row r="169" s="122" customFormat="1" ht="21"/>
    <row r="170" s="122" customFormat="1" ht="21"/>
    <row r="171" s="122" customFormat="1" ht="21"/>
    <row r="172" s="122" customFormat="1" ht="21"/>
    <row r="173" s="122" customFormat="1" ht="21"/>
    <row r="174" s="122" customFormat="1" ht="21"/>
    <row r="175" s="122" customFormat="1" ht="21"/>
    <row r="176" s="122" customFormat="1" ht="21"/>
    <row r="177" s="122" customFormat="1" ht="21"/>
    <row r="178" s="122" customFormat="1" ht="21"/>
    <row r="179" s="122" customFormat="1" ht="21"/>
    <row r="180" s="122" customFormat="1" ht="21"/>
    <row r="181" s="122" customFormat="1" ht="21"/>
    <row r="182" s="122" customFormat="1" ht="21"/>
    <row r="183" s="122" customFormat="1" ht="21"/>
    <row r="184" s="122" customFormat="1" ht="21"/>
    <row r="185" s="122" customFormat="1" ht="21"/>
    <row r="186" s="122" customFormat="1" ht="21"/>
    <row r="187" s="122" customFormat="1" ht="21"/>
    <row r="188" s="122" customFormat="1" ht="21"/>
    <row r="189" s="122" customFormat="1" ht="21"/>
    <row r="190" s="122" customFormat="1" ht="21"/>
    <row r="191" s="122" customFormat="1" ht="21"/>
    <row r="192" s="122" customFormat="1" ht="21"/>
    <row r="193" s="122" customFormat="1" ht="21"/>
    <row r="194" s="122" customFormat="1" ht="21"/>
    <row r="195" s="122" customFormat="1" ht="21"/>
    <row r="196" s="122" customFormat="1" ht="21"/>
    <row r="197" s="122" customFormat="1" ht="21"/>
    <row r="198" s="122" customFormat="1" ht="21"/>
    <row r="199" s="122" customFormat="1" ht="21"/>
    <row r="200" s="122" customFormat="1" ht="21"/>
    <row r="201" s="122" customFormat="1" ht="21"/>
    <row r="202" s="122" customFormat="1" ht="21"/>
    <row r="203" s="122" customFormat="1" ht="21"/>
    <row r="204" s="122" customFormat="1" ht="21"/>
    <row r="205" s="122" customFormat="1" ht="21"/>
    <row r="206" s="122" customFormat="1" ht="21"/>
    <row r="207" s="122" customFormat="1" ht="21"/>
    <row r="208" s="122" customFormat="1" ht="21"/>
    <row r="209" s="122" customFormat="1" ht="21"/>
    <row r="210" s="122" customFormat="1" ht="21"/>
    <row r="211" s="122" customFormat="1" ht="21"/>
    <row r="212" s="122" customFormat="1" ht="21"/>
    <row r="213" s="122" customFormat="1" ht="21"/>
    <row r="214" s="122" customFormat="1" ht="21"/>
    <row r="215" s="122" customFormat="1" ht="21"/>
    <row r="216" s="122" customFormat="1" ht="21"/>
    <row r="217" s="122" customFormat="1" ht="21"/>
    <row r="218" s="122" customFormat="1" ht="21"/>
    <row r="219" s="122" customFormat="1" ht="21"/>
    <row r="220" s="122" customFormat="1" ht="21"/>
    <row r="221" s="122" customFormat="1" ht="21"/>
    <row r="222" s="122" customFormat="1" ht="21"/>
    <row r="223" s="122" customFormat="1" ht="21"/>
    <row r="224" s="122" customFormat="1" ht="21"/>
    <row r="225" s="122" customFormat="1" ht="21"/>
    <row r="226" s="122" customFormat="1" ht="21"/>
    <row r="227" s="122" customFormat="1" ht="21"/>
    <row r="228" s="122" customFormat="1" ht="21"/>
    <row r="229" s="122" customFormat="1" ht="21"/>
    <row r="230" s="122" customFormat="1" ht="21"/>
    <row r="231" s="122" customFormat="1" ht="21"/>
    <row r="232" s="122" customFormat="1" ht="21"/>
    <row r="233" s="122" customFormat="1" ht="21"/>
    <row r="234" s="122" customFormat="1" ht="21"/>
    <row r="235" s="122" customFormat="1" ht="21"/>
    <row r="236" s="122" customFormat="1" ht="21"/>
    <row r="237" s="122" customFormat="1" ht="21"/>
    <row r="238" s="122" customFormat="1" ht="21"/>
    <row r="239" s="122" customFormat="1" ht="21"/>
    <row r="240" s="122" customFormat="1" ht="21"/>
    <row r="241" s="122" customFormat="1" ht="21"/>
    <row r="242" s="122" customFormat="1" ht="21"/>
    <row r="243" s="122" customFormat="1" ht="21"/>
    <row r="244" s="122" customFormat="1" ht="21"/>
    <row r="245" s="122" customFormat="1" ht="21"/>
    <row r="246" s="122" customFormat="1" ht="21"/>
    <row r="247" s="122" customFormat="1" ht="21"/>
    <row r="248" s="122" customFormat="1" ht="21"/>
    <row r="249" s="122" customFormat="1" ht="21"/>
    <row r="250" s="122" customFormat="1" ht="21"/>
    <row r="251" s="122" customFormat="1" ht="21"/>
    <row r="252" s="122" customFormat="1" ht="21"/>
    <row r="253" s="122" customFormat="1" ht="21"/>
    <row r="254" s="122" customFormat="1" ht="21"/>
    <row r="255" s="122" customFormat="1" ht="21"/>
    <row r="256" s="122" customFormat="1" ht="21"/>
    <row r="257" s="122" customFormat="1" ht="21"/>
    <row r="258" s="122" customFormat="1" ht="21"/>
    <row r="259" s="122" customFormat="1" ht="21"/>
    <row r="260" s="122" customFormat="1" ht="21"/>
    <row r="261" s="122" customFormat="1" ht="21"/>
    <row r="262" s="122" customFormat="1" ht="21"/>
    <row r="263" s="122" customFormat="1" ht="21"/>
    <row r="264" s="122" customFormat="1" ht="21"/>
    <row r="265" s="122" customFormat="1" ht="21"/>
    <row r="266" s="122" customFormat="1" ht="21"/>
    <row r="267" s="122" customFormat="1" ht="21"/>
    <row r="268" s="122" customFormat="1" ht="21"/>
    <row r="269" s="122" customFormat="1" ht="21"/>
    <row r="270" s="122" customFormat="1" ht="21"/>
    <row r="271" s="122" customFormat="1" ht="21"/>
    <row r="272" s="122" customFormat="1" ht="21"/>
    <row r="273" s="122" customFormat="1" ht="21"/>
    <row r="274" s="122" customFormat="1" ht="21"/>
    <row r="275" s="122" customFormat="1" ht="21"/>
    <row r="276" s="122" customFormat="1" ht="21"/>
    <row r="277" s="122" customFormat="1" ht="21"/>
    <row r="278" s="122" customFormat="1" ht="21"/>
    <row r="279" s="122" customFormat="1" ht="21"/>
    <row r="280" s="122" customFormat="1" ht="21"/>
    <row r="281" s="122" customFormat="1" ht="21"/>
    <row r="282" s="122" customFormat="1" ht="21"/>
    <row r="283" s="122" customFormat="1" ht="21"/>
    <row r="284" s="122" customFormat="1" ht="21"/>
    <row r="285" s="122" customFormat="1" ht="21"/>
    <row r="286" s="122" customFormat="1" ht="21"/>
    <row r="287" s="122" customFormat="1" ht="21"/>
    <row r="288" s="122" customFormat="1" ht="21"/>
    <row r="289" s="122" customFormat="1" ht="21"/>
    <row r="290" s="122" customFormat="1" ht="21"/>
    <row r="291" s="122" customFormat="1" ht="21"/>
    <row r="292" s="122" customFormat="1" ht="21"/>
    <row r="293" s="122" customFormat="1" ht="21"/>
  </sheetData>
  <sheetProtection/>
  <mergeCells count="20"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U4"/>
    <mergeCell ref="A5:A7"/>
    <mergeCell ref="B5:B7"/>
    <mergeCell ref="C5:D6"/>
    <mergeCell ref="E5:E6"/>
    <mergeCell ref="F5:M5"/>
    <mergeCell ref="N5:O6"/>
    <mergeCell ref="P5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Windows User</cp:lastModifiedBy>
  <dcterms:created xsi:type="dcterms:W3CDTF">2015-05-25T07:38:51Z</dcterms:created>
  <dcterms:modified xsi:type="dcterms:W3CDTF">2015-06-05T01:24:10Z</dcterms:modified>
  <cp:category/>
  <cp:version/>
  <cp:contentType/>
  <cp:contentStatus/>
</cp:coreProperties>
</file>